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activeTab="0"/>
  </bookViews>
  <sheets>
    <sheet name="Нормы с 1,5-3 лет" sheetId="1" r:id="rId1"/>
    <sheet name="1,5-3 лет" sheetId="2" r:id="rId2"/>
    <sheet name="Нормы 3-7 лет" sheetId="3" r:id="rId3"/>
    <sheet name="Дети 3-7 лет" sheetId="4" r:id="rId4"/>
    <sheet name="Лист1" sheetId="5" r:id="rId5"/>
  </sheets>
  <definedNames>
    <definedName name="_xlnm.Print_Area" localSheetId="1">'1,5-3 лет'!$A$1:$M$439</definedName>
    <definedName name="_xlnm.Print_Area" localSheetId="3">'Дети 3-7 лет'!$A$1:$O$440</definedName>
    <definedName name="_xlnm.Print_Area" localSheetId="2">'Нормы 3-7 лет'!$A$1:$AG$340</definedName>
    <definedName name="_xlnm.Print_Area" localSheetId="0">'Нормы с 1,5-3 лет'!$A$1:$AE$339</definedName>
  </definedNames>
  <calcPr fullCalcOnLoad="1"/>
</workbook>
</file>

<file path=xl/sharedStrings.xml><?xml version="1.0" encoding="utf-8"?>
<sst xmlns="http://schemas.openxmlformats.org/spreadsheetml/2006/main" count="2981" uniqueCount="262">
  <si>
    <t>День 1</t>
  </si>
  <si>
    <t>Б</t>
  </si>
  <si>
    <t>Ж</t>
  </si>
  <si>
    <t>У</t>
  </si>
  <si>
    <t>Эн/ц</t>
  </si>
  <si>
    <t>Fe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</si>
  <si>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</si>
  <si>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</si>
  <si>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</si>
  <si>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</si>
  <si>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</si>
  <si>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</si>
  <si>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</si>
  <si>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</si>
  <si>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</si>
  <si>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День 2</t>
  </si>
  <si>
    <t>День 3</t>
  </si>
  <si>
    <t>День 4</t>
  </si>
  <si>
    <t>Какао с молоком</t>
  </si>
  <si>
    <t>День 5</t>
  </si>
  <si>
    <t>День 6</t>
  </si>
  <si>
    <t>День 7</t>
  </si>
  <si>
    <t>День 8</t>
  </si>
  <si>
    <t>Суп молочный с макаронными изделиями</t>
  </si>
  <si>
    <t>День 9</t>
  </si>
  <si>
    <t>День 10</t>
  </si>
  <si>
    <t>Наименование блюда</t>
  </si>
  <si>
    <t>Масса порции</t>
  </si>
  <si>
    <t>Пищевые вещества (г)</t>
  </si>
  <si>
    <t>Витамины (мг)</t>
  </si>
  <si>
    <t>Минеральные в-ва (мг)</t>
  </si>
  <si>
    <t>Са</t>
  </si>
  <si>
    <t>200</t>
  </si>
  <si>
    <t>100</t>
  </si>
  <si>
    <t>150</t>
  </si>
  <si>
    <t>80</t>
  </si>
  <si>
    <t>Кофейный напиток</t>
  </si>
  <si>
    <t>Итого</t>
  </si>
  <si>
    <t>Кисломолочный продукт</t>
  </si>
  <si>
    <t>№ ТК</t>
  </si>
  <si>
    <t>Обед</t>
  </si>
  <si>
    <t>Банан</t>
  </si>
  <si>
    <t>Гуляш</t>
  </si>
  <si>
    <t xml:space="preserve">Кисель </t>
  </si>
  <si>
    <t xml:space="preserve">Суп картофельный с мясными фрикадельками </t>
  </si>
  <si>
    <t>ГП</t>
  </si>
  <si>
    <t>Капуста тушеная</t>
  </si>
  <si>
    <t>Запеканка из творога с молоком сгущенным</t>
  </si>
  <si>
    <t>Итого за 10 дней</t>
  </si>
  <si>
    <t>Итого за 1 дней</t>
  </si>
  <si>
    <t>Каша вязкая пшеничная молочная</t>
  </si>
  <si>
    <t>60</t>
  </si>
  <si>
    <t>Каша вязкая манная молочная</t>
  </si>
  <si>
    <t>Омлет натуральный с маслом</t>
  </si>
  <si>
    <t>Бутерброд  с маслом</t>
  </si>
  <si>
    <t>Картофельное пюре</t>
  </si>
  <si>
    <t>Щи из свежей капусты, с мясом и со сметаной</t>
  </si>
  <si>
    <t>Тефтели из говядины</t>
  </si>
  <si>
    <t>Бутерброд  с маслом и сыром</t>
  </si>
  <si>
    <t>Рассольник ленинградский, с мясом и со сметаной</t>
  </si>
  <si>
    <t>Каша вязкая ячневая молочная</t>
  </si>
  <si>
    <t>Чай с молоком</t>
  </si>
  <si>
    <t>Суп - уха</t>
  </si>
  <si>
    <t>Борщ с капустой свежей, с мясом и со сметаной</t>
  </si>
  <si>
    <t>Овощи натуральные соленые (или свежие)</t>
  </si>
  <si>
    <t>Дети  3-7 лет, 12 часовое пребывание</t>
  </si>
  <si>
    <t>Колбасные изделия отварные</t>
  </si>
  <si>
    <t>Сельдь с луком репчатым</t>
  </si>
  <si>
    <t>Свекольник с мясом, со сметаной</t>
  </si>
  <si>
    <t xml:space="preserve">Котлеты,биточки, шницели из  говядины </t>
  </si>
  <si>
    <t>Суп молочный с крупой</t>
  </si>
  <si>
    <t>Суп шахтерский с мясом и со сметаной</t>
  </si>
  <si>
    <t>Жаркое по-домашнему</t>
  </si>
  <si>
    <t>Манник со сгущенным молоком</t>
  </si>
  <si>
    <t>Компот из сухофруктов</t>
  </si>
  <si>
    <t xml:space="preserve">Котлеты, биточки, шницели рыбные </t>
  </si>
  <si>
    <t>120/20</t>
  </si>
  <si>
    <t xml:space="preserve">Пудинг творожный с молоком сгущенным </t>
  </si>
  <si>
    <t>Груша</t>
  </si>
  <si>
    <t>30</t>
  </si>
  <si>
    <t>140/40</t>
  </si>
  <si>
    <t>Кондитерские изделия</t>
  </si>
  <si>
    <t>Сахар</t>
  </si>
  <si>
    <t>Масло растительное</t>
  </si>
  <si>
    <t>Сметана</t>
  </si>
  <si>
    <t>Сыр</t>
  </si>
  <si>
    <t>Соль</t>
  </si>
  <si>
    <t>15</t>
  </si>
  <si>
    <t>Пирожок печеный из дрожжевого теста с овощным фаршем</t>
  </si>
  <si>
    <t>Чай</t>
  </si>
  <si>
    <t>8</t>
  </si>
  <si>
    <t>5</t>
  </si>
  <si>
    <t>Голубцы  ленивые</t>
  </si>
  <si>
    <t>10</t>
  </si>
  <si>
    <t>Салат из свеклы с чесноком</t>
  </si>
  <si>
    <t>Норма продуктов питания согласно санитарным нормам и правилам</t>
  </si>
  <si>
    <t>Среднеее значение за 10 дней</t>
  </si>
  <si>
    <t>День: понедельник</t>
  </si>
  <si>
    <t>Неделя: первая</t>
  </si>
  <si>
    <t>Возрастная категория: 3-7 лет, 12 часовое пребывание</t>
  </si>
  <si>
    <t>Прием пищи, наименование блюда</t>
  </si>
  <si>
    <t>Энергетическая ценность (ккал)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</si>
  <si>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</si>
  <si>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</si>
  <si>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</si>
  <si>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</si>
  <si>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</si>
  <si>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2 завтрак</t>
  </si>
  <si>
    <t>Сок фруктовый (овощной)</t>
  </si>
  <si>
    <t>Крупы (злаки) бобовые</t>
  </si>
  <si>
    <t>Кофейный напитк</t>
  </si>
  <si>
    <t>Колбасные изделия</t>
  </si>
  <si>
    <t>3</t>
  </si>
  <si>
    <t>9</t>
  </si>
  <si>
    <t>Хлеб пшеничный или хлеб зерновой</t>
  </si>
  <si>
    <t>Хлеб ржаной (ржано пшеничный)</t>
  </si>
  <si>
    <t>Мука пшеничная хлебопекарная</t>
  </si>
  <si>
    <t>Мука картофельная  (крахмал)</t>
  </si>
  <si>
    <t>Макаронные изделия группы А</t>
  </si>
  <si>
    <t>Соки фруктовые (овощные)</t>
  </si>
  <si>
    <t>Напитки витаминизированные (готовый напиток)</t>
  </si>
  <si>
    <t>Фрукты (плоды) сухие</t>
  </si>
  <si>
    <t>Масло коровье сладкосливочное</t>
  </si>
  <si>
    <t>Яйцо куриное диетическое</t>
  </si>
  <si>
    <t>Какао-порошок</t>
  </si>
  <si>
    <t>Дрожжи хлебопекарные</t>
  </si>
  <si>
    <t xml:space="preserve">Молоко,  кисломолочные продукты </t>
  </si>
  <si>
    <t>Яблоко</t>
  </si>
  <si>
    <t>Бутерброд с джемом</t>
  </si>
  <si>
    <t>Каша вязкая молочная с хлопьями овсяными "Геркулес"</t>
  </si>
  <si>
    <t>Салат из моркови с зеленым горошком</t>
  </si>
  <si>
    <t>Сырники из творога с молоком сгущенным</t>
  </si>
  <si>
    <t>Сушка на сметане</t>
  </si>
  <si>
    <t>Конфеты (или пастила, или мармелад, или зефир, или шоколад)</t>
  </si>
  <si>
    <t>Кондитерские изделия (печенье, или вафли, или пряники, или  крекеры, или кексы, или пирожные и торты песочные или бисквитные без крема)</t>
  </si>
  <si>
    <t>Морковь припущенная</t>
  </si>
  <si>
    <t>Макаронные изделия отварные с овощами</t>
  </si>
  <si>
    <t>Зеленый горошек или кукуруза консер. отварные</t>
  </si>
  <si>
    <t>"Гребешок" из дрожжевого теста</t>
  </si>
  <si>
    <t>Суп картофельный с бобовыми, с мясом птицы</t>
  </si>
  <si>
    <t xml:space="preserve">Капуста, тушеная с мясом </t>
  </si>
  <si>
    <t>1/5 шт.</t>
  </si>
  <si>
    <t>Салат из зеленого горошка (кукурузы) с луком репчатым</t>
  </si>
  <si>
    <t xml:space="preserve">Творог, творожные изделия  </t>
  </si>
  <si>
    <t>Хлеб ржаной (ржано-пшеничный)</t>
  </si>
  <si>
    <t>Норма соли пищевой поваренной на весь день</t>
  </si>
  <si>
    <t>70</t>
  </si>
  <si>
    <t>50</t>
  </si>
  <si>
    <t>180/12</t>
  </si>
  <si>
    <t>180/12/5</t>
  </si>
  <si>
    <t>150/20</t>
  </si>
  <si>
    <t>30/8</t>
  </si>
  <si>
    <t>веществ (белков, жиров и углеводов) и калорийности не должны превышать ± 10%, микронутриентов ± 15%.</t>
  </si>
  <si>
    <t>Дети 3-7 лет, 12 часовое пребывание</t>
  </si>
  <si>
    <t>215/35</t>
  </si>
  <si>
    <t>Суп  картофельный с макаронными изделиями, с мясом птицы</t>
  </si>
  <si>
    <t>250/10/6</t>
  </si>
  <si>
    <t>250/10</t>
  </si>
  <si>
    <t>Средние показатели содержания пищевых веществ, энергетической ценности и микронутриентов рациона питания детей 3-7 лет</t>
  </si>
  <si>
    <t>Суп картофельный с клецками, с мясом птицы</t>
  </si>
  <si>
    <t>60/30</t>
  </si>
  <si>
    <t>4</t>
  </si>
  <si>
    <t>Процент удовлетворения норм питания</t>
  </si>
  <si>
    <t>200/10</t>
  </si>
  <si>
    <t>45</t>
  </si>
  <si>
    <t>200/8/5</t>
  </si>
  <si>
    <t>100/30</t>
  </si>
  <si>
    <t>100/15</t>
  </si>
  <si>
    <t>200/4</t>
  </si>
  <si>
    <t>172/28</t>
  </si>
  <si>
    <t>50/25</t>
  </si>
  <si>
    <t>130/4</t>
  </si>
  <si>
    <t>200/8</t>
  </si>
  <si>
    <t>150/9</t>
  </si>
  <si>
    <t>150/9/4</t>
  </si>
  <si>
    <t>20/5</t>
  </si>
  <si>
    <t>1 - согласно требований  приложения 6 СанПиНа 2.4.1.260-10  допустумы отклонения от рекомендуемых норм питания +-5%.</t>
  </si>
  <si>
    <t>Соус красный основной</t>
  </si>
  <si>
    <t>180/5</t>
  </si>
  <si>
    <t>Ежедневная нормы выдачи соли пищевой поваренной - 6 гр.</t>
  </si>
  <si>
    <t>При поступлении на предприятие других видов фруктов-можно производить их замену.</t>
  </si>
  <si>
    <t>Ежедневная нормы выдачи соли пищевой поваренной - 4 гр.</t>
  </si>
  <si>
    <t xml:space="preserve">Примечание: ГП - готовый продукт.   </t>
  </si>
  <si>
    <t xml:space="preserve">режима работы в дошкольных организациях" отклонения от расчетных суточной калорийности и содержания основных пищевых </t>
  </si>
  <si>
    <t>Орехи (фундук, или миндаль, или ядра грецкого ореха)</t>
  </si>
  <si>
    <t>Напиток витаминизированный "Валетек"</t>
  </si>
  <si>
    <t>Рис отварной с овощами</t>
  </si>
  <si>
    <t>Булочка домашняя</t>
  </si>
  <si>
    <t>Рыба, тушенная в сметанном соусе</t>
  </si>
  <si>
    <t>Кофейный напиток с молоком</t>
  </si>
  <si>
    <t>Рыба, тушеная в сметанном соусе</t>
  </si>
  <si>
    <t>Расчет продуктов питания ( в граммах), на одну порцию, на одного ребенка</t>
  </si>
  <si>
    <t>Салат из отварной моркови с чесноком</t>
  </si>
  <si>
    <t>Салат из отварной свеклы с зеленым горошком</t>
  </si>
  <si>
    <t>Салат из отварной свеклы с чесноком</t>
  </si>
  <si>
    <t>Салат из отварной моркови с зеленым горошком</t>
  </si>
  <si>
    <t>Птица в соусе с томатом</t>
  </si>
  <si>
    <t>Рагу из овощей</t>
  </si>
  <si>
    <t>Яйцо отварное</t>
  </si>
  <si>
    <t>Фрикадельки из говядины</t>
  </si>
  <si>
    <t>65</t>
  </si>
  <si>
    <t>20</t>
  </si>
  <si>
    <t>Суп "Харчо" с мясом птицы</t>
  </si>
  <si>
    <t xml:space="preserve">Суп "Харчо" с мясом птицы </t>
  </si>
  <si>
    <t>Рыба, припущенная в молоке</t>
  </si>
  <si>
    <t>30/5</t>
  </si>
  <si>
    <t>20/4</t>
  </si>
  <si>
    <t>Усиленный полдник</t>
  </si>
  <si>
    <t>Икра кабачковая (промышелнного производства)</t>
  </si>
  <si>
    <t>Расстегай с рыбой</t>
  </si>
  <si>
    <t>Салат из моркови и яблок</t>
  </si>
  <si>
    <t>Салат картофельный с огурцами солеными</t>
  </si>
  <si>
    <t>Запеканка овощная</t>
  </si>
  <si>
    <t>45, 14</t>
  </si>
  <si>
    <t>110/15</t>
  </si>
  <si>
    <t>64</t>
  </si>
  <si>
    <t>150/3</t>
  </si>
  <si>
    <t>Фрукты (плоды) свежие</t>
  </si>
  <si>
    <t>250/13</t>
  </si>
  <si>
    <t>110</t>
  </si>
  <si>
    <t>Прмечание: * согласно  приложения 6 СанПиНа 2.4.1.2660-10 при формировании  меню ведется подсчет норм нетто сырья продуктов питания -картофеля, овощей,  мяса, птицы, рыбы.</t>
  </si>
  <si>
    <t xml:space="preserve">Каша вязкая рисовая молочная </t>
  </si>
  <si>
    <t xml:space="preserve">Каша вязкая пшенная молочная </t>
  </si>
  <si>
    <t>Каша вязкая рисовая молочная</t>
  </si>
  <si>
    <t>Каша вязкая молочная "Дружба"</t>
  </si>
  <si>
    <t>96, 65</t>
  </si>
  <si>
    <t>Горошница или каша гречневая рассыпчатая</t>
  </si>
  <si>
    <t>70/18</t>
  </si>
  <si>
    <t>80/20</t>
  </si>
  <si>
    <t>Творожники песочные или ватрушка с творогом из дрожжевого теста</t>
  </si>
  <si>
    <t>100, 28</t>
  </si>
  <si>
    <t>20/4/9</t>
  </si>
  <si>
    <t>30/5/14</t>
  </si>
  <si>
    <t>Бутерброд  с молоком сгущенным</t>
  </si>
  <si>
    <t>30/15</t>
  </si>
  <si>
    <t>20/10</t>
  </si>
  <si>
    <t>Какао с молоком сгущенным</t>
  </si>
  <si>
    <t>Кофейный напиток с молоком сгущенным</t>
  </si>
  <si>
    <t>90</t>
  </si>
  <si>
    <t>140</t>
  </si>
  <si>
    <t>12</t>
  </si>
  <si>
    <t>9, 97</t>
  </si>
  <si>
    <t>Компот из сухофруктов (или напиток из шиповника)</t>
  </si>
  <si>
    <t>54, 97</t>
  </si>
  <si>
    <t>Компот из  свежих фруктов (или лимонный напиток)</t>
  </si>
  <si>
    <r>
      <t>Процент отклонения рекомендуемых норм питания</t>
    </r>
    <r>
      <rPr>
        <b/>
        <i/>
        <vertAlign val="superscript"/>
        <sz val="37"/>
        <color indexed="8"/>
        <rFont val="Times New Roman"/>
        <family val="1"/>
      </rPr>
      <t xml:space="preserve">1 </t>
    </r>
  </si>
  <si>
    <r>
      <t>Картофель</t>
    </r>
    <r>
      <rPr>
        <b/>
        <sz val="37"/>
        <color indexed="8"/>
        <rFont val="Times New Roman"/>
        <family val="1"/>
      </rPr>
      <t>*</t>
    </r>
  </si>
  <si>
    <r>
      <t>Овощи, зелень</t>
    </r>
    <r>
      <rPr>
        <b/>
        <sz val="37"/>
        <color indexed="8"/>
        <rFont val="Times New Roman"/>
        <family val="1"/>
      </rPr>
      <t>*</t>
    </r>
  </si>
  <si>
    <r>
      <t>Мясо</t>
    </r>
    <r>
      <rPr>
        <b/>
        <sz val="37"/>
        <color indexed="8"/>
        <rFont val="Times New Roman"/>
        <family val="1"/>
      </rPr>
      <t>*</t>
    </r>
  </si>
  <si>
    <r>
      <t>Птица (цыплята-бройлеры 1 категории потр.)</t>
    </r>
    <r>
      <rPr>
        <b/>
        <sz val="37"/>
        <color indexed="8"/>
        <rFont val="Times New Roman"/>
        <family val="1"/>
      </rPr>
      <t>*</t>
    </r>
  </si>
  <si>
    <r>
      <t>Рыба</t>
    </r>
    <r>
      <rPr>
        <b/>
        <sz val="37"/>
        <color indexed="8"/>
        <rFont val="Times New Roman"/>
        <family val="1"/>
      </rPr>
      <t>*</t>
    </r>
  </si>
  <si>
    <r>
      <t>В</t>
    </r>
    <r>
      <rPr>
        <b/>
        <i/>
        <vertAlign val="subscript"/>
        <sz val="36"/>
        <color indexed="8"/>
        <rFont val="Times New Roman"/>
        <family val="1"/>
      </rPr>
      <t>1</t>
    </r>
  </si>
  <si>
    <r>
      <t>В</t>
    </r>
    <r>
      <rPr>
        <b/>
        <i/>
        <vertAlign val="subscript"/>
        <sz val="36"/>
        <color indexed="8"/>
        <rFont val="Times New Roman"/>
        <family val="1"/>
      </rPr>
      <t>2</t>
    </r>
  </si>
  <si>
    <r>
      <t>Яблоко</t>
    </r>
    <r>
      <rPr>
        <i/>
        <vertAlign val="superscript"/>
        <sz val="36"/>
        <color indexed="8"/>
        <rFont val="Times New Roman"/>
        <family val="1"/>
      </rPr>
      <t>1</t>
    </r>
    <r>
      <rPr>
        <i/>
        <sz val="36"/>
        <color indexed="8"/>
        <rFont val="Times New Roman"/>
        <family val="1"/>
      </rPr>
      <t xml:space="preserve">    </t>
    </r>
  </si>
  <si>
    <r>
      <rPr>
        <i/>
        <vertAlign val="superscript"/>
        <sz val="36"/>
        <color indexed="8"/>
        <rFont val="Times New Roman"/>
        <family val="1"/>
      </rPr>
      <t>1</t>
    </r>
    <r>
      <rPr>
        <i/>
        <sz val="36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</si>
  <si>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r>
      <t>Груша</t>
    </r>
    <r>
      <rPr>
        <i/>
        <vertAlign val="superscript"/>
        <sz val="36"/>
        <color indexed="8"/>
        <rFont val="Times New Roman"/>
        <family val="1"/>
      </rPr>
      <t>1</t>
    </r>
    <r>
      <rPr>
        <i/>
        <sz val="36"/>
        <color indexed="8"/>
        <rFont val="Times New Roman"/>
        <family val="1"/>
      </rPr>
      <t xml:space="preserve"> </t>
    </r>
  </si>
  <si>
    <r>
      <t>Банан</t>
    </r>
    <r>
      <rPr>
        <i/>
        <vertAlign val="superscript"/>
        <sz val="36"/>
        <color indexed="8"/>
        <rFont val="Times New Roman"/>
        <family val="1"/>
      </rPr>
      <t xml:space="preserve">1 </t>
    </r>
  </si>
  <si>
    <r>
      <t>Процент отклонения от расчетных данных</t>
    </r>
    <r>
      <rPr>
        <b/>
        <sz val="36"/>
        <color indexed="8"/>
        <rFont val="Times New Roman"/>
        <family val="1"/>
      </rPr>
      <t>*</t>
    </r>
  </si>
  <si>
    <r>
      <rPr>
        <sz val="36"/>
        <color indexed="8"/>
        <rFont val="Times New Roman"/>
        <family val="1"/>
      </rPr>
      <t xml:space="preserve">* - </t>
    </r>
    <r>
      <rPr>
        <i/>
        <sz val="36"/>
        <color indexed="8"/>
        <rFont val="Times New Roman"/>
        <family val="1"/>
      </rPr>
      <t xml:space="preserve">Согласно п. 16.2 СанПиНа 2.4.1.2660-10  "Санитарно-эпидемиологические требования к устройству, содержанию и организации </t>
    </r>
  </si>
  <si>
    <t>Дети 1,5-3 лет, 12 часовое пребывание</t>
  </si>
  <si>
    <t>Возрастная категория: 1,5-3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</si>
  <si>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1,5-3 лет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</si>
</sst>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_(* #,##0.000_);_(* \(#,##0.000\);_(* &quot;-&quot;??_);_(@_)"/>
    <numFmt numFmtId="192" formatCode="_(* #,##0.0_);_(* \(#,##0.0\);_(* &quot;-&quot;??_);_(@_)"/>
    <numFmt numFmtId="193" formatCode="#,##0.0&quot;р.&quot;"/>
    <numFmt numFmtId="194" formatCode="#,##0.0"/>
    <numFmt numFmtId="195" formatCode="#,##0.00&quot;р.&quot;"/>
    <numFmt numFmtId="196" formatCode="#,##0.000&quot;р.&quot;"/>
    <numFmt numFmtId="197" formatCode="#,##0.000;[Red]#,##0.000"/>
    <numFmt numFmtId="198" formatCode="0;[Red]0"/>
    <numFmt numFmtId="199" formatCode="#,##0.000"/>
  </numFmts>
  <fonts count="37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37"/>
      <color indexed="8"/>
      <name val="Times New Roman"/>
      <family val="1"/>
    </font>
    <font>
      <b/>
      <i/>
      <sz val="37"/>
      <color indexed="8"/>
      <name val="Times New Roman"/>
      <family val="1"/>
    </font>
    <font>
      <i/>
      <sz val="36"/>
      <color indexed="8"/>
      <name val="Times New Roman"/>
      <family val="1"/>
    </font>
    <font>
      <sz val="37"/>
      <color indexed="8"/>
      <name val="Times New Roman"/>
      <family val="1"/>
    </font>
    <font>
      <b/>
      <i/>
      <vertAlign val="superscript"/>
      <sz val="37"/>
      <color indexed="8"/>
      <name val="Times New Roman"/>
      <family val="1"/>
    </font>
    <font>
      <b/>
      <sz val="37"/>
      <color indexed="8"/>
      <name val="Times New Roman"/>
      <family val="1"/>
    </font>
    <font>
      <b/>
      <i/>
      <sz val="36"/>
      <color indexed="8"/>
      <name val="Times New Roman"/>
      <family val="1"/>
    </font>
    <font>
      <b/>
      <i/>
      <vertAlign val="subscript"/>
      <sz val="36"/>
      <color indexed="8"/>
      <name val="Times New Roman"/>
      <family val="1"/>
    </font>
    <font>
      <i/>
      <vertAlign val="superscript"/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center" wrapText="1"/>
    </xf>
    <xf numFmtId="2" fontId="26" fillId="0" borderId="18" xfId="0" applyNumberFormat="1" applyFont="1" applyBorder="1" applyAlignment="1">
      <alignment wrapText="1"/>
    </xf>
    <xf numFmtId="0" fontId="26" fillId="0" borderId="10" xfId="0" applyNumberFormat="1" applyFont="1" applyBorder="1" applyAlignment="1">
      <alignment horizontal="center" wrapText="1"/>
    </xf>
    <xf numFmtId="2" fontId="26" fillId="0" borderId="18" xfId="0" applyNumberFormat="1" applyFont="1" applyBorder="1" applyAlignment="1">
      <alignment horizontal="left" wrapText="1"/>
    </xf>
    <xf numFmtId="2" fontId="26" fillId="0" borderId="17" xfId="0" applyNumberFormat="1" applyFont="1" applyBorder="1" applyAlignment="1">
      <alignment wrapText="1"/>
    </xf>
    <xf numFmtId="0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wrapText="1"/>
    </xf>
    <xf numFmtId="0" fontId="26" fillId="0" borderId="18" xfId="0" applyNumberFormat="1" applyFont="1" applyBorder="1" applyAlignment="1">
      <alignment horizontal="center" wrapText="1"/>
    </xf>
    <xf numFmtId="0" fontId="26" fillId="0" borderId="19" xfId="0" applyNumberFormat="1" applyFont="1" applyBorder="1" applyAlignment="1">
      <alignment horizontal="center" wrapText="1"/>
    </xf>
    <xf numFmtId="0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wrapText="1"/>
    </xf>
    <xf numFmtId="1" fontId="28" fillId="0" borderId="10" xfId="0" applyNumberFormat="1" applyFont="1" applyBorder="1" applyAlignment="1">
      <alignment horizontal="center" wrapText="1"/>
    </xf>
    <xf numFmtId="2" fontId="28" fillId="0" borderId="17" xfId="0" applyNumberFormat="1" applyFont="1" applyBorder="1" applyAlignment="1">
      <alignment horizontal="center" wrapText="1"/>
    </xf>
    <xf numFmtId="0" fontId="26" fillId="0" borderId="17" xfId="0" applyNumberFormat="1" applyFont="1" applyBorder="1" applyAlignment="1">
      <alignment horizontal="center" wrapText="1"/>
    </xf>
    <xf numFmtId="2" fontId="28" fillId="0" borderId="18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8" fillId="0" borderId="11" xfId="0" applyNumberFormat="1" applyFont="1" applyBorder="1" applyAlignment="1">
      <alignment horizontal="center" wrapText="1"/>
    </xf>
    <xf numFmtId="2" fontId="28" fillId="0" borderId="18" xfId="0" applyNumberFormat="1" applyFont="1" applyBorder="1" applyAlignment="1">
      <alignment wrapText="1"/>
    </xf>
    <xf numFmtId="49" fontId="28" fillId="0" borderId="11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0" fontId="26" fillId="0" borderId="20" xfId="0" applyNumberFormat="1" applyFont="1" applyBorder="1" applyAlignment="1">
      <alignment horizontal="center" wrapText="1"/>
    </xf>
    <xf numFmtId="0" fontId="26" fillId="0" borderId="21" xfId="0" applyNumberFormat="1" applyFont="1" applyBorder="1" applyAlignment="1">
      <alignment horizontal="center" wrapText="1"/>
    </xf>
    <xf numFmtId="0" fontId="26" fillId="0" borderId="22" xfId="0" applyNumberFormat="1" applyFont="1" applyBorder="1" applyAlignment="1">
      <alignment horizontal="center" wrapText="1"/>
    </xf>
    <xf numFmtId="1" fontId="27" fillId="0" borderId="10" xfId="0" applyNumberFormat="1" applyFont="1" applyBorder="1" applyAlignment="1">
      <alignment horizontal="center" wrapText="1"/>
    </xf>
    <xf numFmtId="0" fontId="27" fillId="0" borderId="10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center" wrapText="1"/>
    </xf>
    <xf numFmtId="2" fontId="26" fillId="0" borderId="11" xfId="0" applyNumberFormat="1" applyFont="1" applyBorder="1" applyAlignment="1">
      <alignment wrapText="1"/>
    </xf>
    <xf numFmtId="2" fontId="27" fillId="0" borderId="18" xfId="0" applyNumberFormat="1" applyFont="1" applyBorder="1" applyAlignment="1">
      <alignment wrapText="1"/>
    </xf>
    <xf numFmtId="2" fontId="26" fillId="0" borderId="18" xfId="0" applyNumberFormat="1" applyFont="1" applyBorder="1" applyAlignment="1">
      <alignment horizontal="center" wrapText="1"/>
    </xf>
    <xf numFmtId="2" fontId="26" fillId="0" borderId="19" xfId="0" applyNumberFormat="1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8" xfId="60" applyNumberFormat="1" applyFont="1" applyBorder="1" applyAlignment="1">
      <alignment horizontal="center" wrapText="1"/>
    </xf>
    <xf numFmtId="0" fontId="26" fillId="0" borderId="10" xfId="43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wrapText="1"/>
    </xf>
    <xf numFmtId="2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27" fillId="0" borderId="19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184" fontId="26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7" fillId="0" borderId="24" xfId="0" applyNumberFormat="1" applyFont="1" applyBorder="1" applyAlignment="1">
      <alignment horizontal="center" textRotation="90" wrapText="1"/>
    </xf>
    <xf numFmtId="0" fontId="27" fillId="0" borderId="11" xfId="0" applyNumberFormat="1" applyFont="1" applyBorder="1" applyAlignment="1">
      <alignment horizontal="center" textRotation="90" wrapText="1"/>
    </xf>
    <xf numFmtId="0" fontId="27" fillId="0" borderId="17" xfId="0" applyNumberFormat="1" applyFont="1" applyBorder="1" applyAlignment="1">
      <alignment horizontal="center" wrapText="1"/>
    </xf>
    <xf numFmtId="0" fontId="27" fillId="0" borderId="18" xfId="0" applyNumberFormat="1" applyFont="1" applyBorder="1" applyAlignment="1">
      <alignment horizontal="center" wrapText="1"/>
    </xf>
    <xf numFmtId="0" fontId="27" fillId="0" borderId="20" xfId="0" applyNumberFormat="1" applyFont="1" applyBorder="1" applyAlignment="1">
      <alignment horizontal="center" wrapText="1"/>
    </xf>
    <xf numFmtId="0" fontId="27" fillId="0" borderId="11" xfId="0" applyNumberFormat="1" applyFont="1" applyBorder="1" applyAlignment="1">
      <alignment horizontal="center" wrapText="1"/>
    </xf>
    <xf numFmtId="1" fontId="26" fillId="0" borderId="0" xfId="0" applyNumberFormat="1" applyFont="1" applyAlignment="1">
      <alignment/>
    </xf>
    <xf numFmtId="2" fontId="26" fillId="0" borderId="0" xfId="0" applyNumberFormat="1" applyFont="1" applyFill="1" applyAlignment="1">
      <alignment/>
    </xf>
    <xf numFmtId="2" fontId="26" fillId="0" borderId="0" xfId="0" applyNumberFormat="1" applyFont="1" applyAlignment="1">
      <alignment textRotation="45"/>
    </xf>
    <xf numFmtId="0" fontId="32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left" wrapText="1"/>
    </xf>
    <xf numFmtId="2" fontId="32" fillId="0" borderId="11" xfId="0" applyNumberFormat="1" applyFont="1" applyBorder="1" applyAlignment="1">
      <alignment horizontal="center" wrapText="1"/>
    </xf>
    <xf numFmtId="49" fontId="32" fillId="0" borderId="24" xfId="0" applyNumberFormat="1" applyFont="1" applyBorder="1" applyAlignment="1">
      <alignment horizontal="center" wrapText="1"/>
    </xf>
    <xf numFmtId="49" fontId="32" fillId="0" borderId="11" xfId="0" applyNumberFormat="1" applyFont="1" applyBorder="1" applyAlignment="1">
      <alignment horizontal="center" wrapText="1"/>
    </xf>
    <xf numFmtId="2" fontId="32" fillId="0" borderId="16" xfId="0" applyNumberFormat="1" applyFont="1" applyBorder="1" applyAlignment="1">
      <alignment horizontal="center" wrapText="1"/>
    </xf>
    <xf numFmtId="2" fontId="32" fillId="0" borderId="21" xfId="0" applyNumberFormat="1" applyFont="1" applyBorder="1" applyAlignment="1">
      <alignment horizontal="center" wrapText="1"/>
    </xf>
    <xf numFmtId="2" fontId="32" fillId="0" borderId="19" xfId="0" applyNumberFormat="1" applyFont="1" applyBorder="1" applyAlignment="1">
      <alignment horizontal="center" wrapText="1"/>
    </xf>
    <xf numFmtId="2" fontId="32" fillId="0" borderId="18" xfId="0" applyNumberFormat="1" applyFont="1" applyBorder="1" applyAlignment="1">
      <alignment horizontal="center" wrapText="1"/>
    </xf>
    <xf numFmtId="0" fontId="32" fillId="0" borderId="11" xfId="0" applyNumberFormat="1" applyFont="1" applyBorder="1" applyAlignment="1">
      <alignment horizontal="center" wrapText="1"/>
    </xf>
    <xf numFmtId="2" fontId="32" fillId="0" borderId="25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1" fontId="32" fillId="0" borderId="26" xfId="0" applyNumberFormat="1" applyFont="1" applyBorder="1" applyAlignment="1">
      <alignment horizontal="center" wrapText="1"/>
    </xf>
    <xf numFmtId="1" fontId="32" fillId="0" borderId="20" xfId="0" applyNumberFormat="1" applyFont="1" applyBorder="1" applyAlignment="1">
      <alignment horizontal="center" wrapText="1"/>
    </xf>
    <xf numFmtId="1" fontId="28" fillId="0" borderId="0" xfId="0" applyNumberFormat="1" applyFont="1" applyAlignment="1">
      <alignment/>
    </xf>
    <xf numFmtId="0" fontId="28" fillId="0" borderId="10" xfId="0" applyNumberFormat="1" applyFont="1" applyBorder="1" applyAlignment="1">
      <alignment horizontal="center" wrapText="1"/>
    </xf>
    <xf numFmtId="185" fontId="28" fillId="0" borderId="18" xfId="0" applyNumberFormat="1" applyFont="1" applyBorder="1" applyAlignment="1">
      <alignment horizontal="center" wrapText="1"/>
    </xf>
    <xf numFmtId="2" fontId="28" fillId="0" borderId="18" xfId="60" applyNumberFormat="1" applyFont="1" applyBorder="1" applyAlignment="1">
      <alignment horizontal="center" wrapText="1"/>
    </xf>
    <xf numFmtId="2" fontId="28" fillId="0" borderId="17" xfId="0" applyNumberFormat="1" applyFont="1" applyBorder="1" applyAlignment="1">
      <alignment wrapText="1"/>
    </xf>
    <xf numFmtId="2" fontId="28" fillId="0" borderId="11" xfId="0" applyNumberFormat="1" applyFont="1" applyBorder="1" applyAlignment="1">
      <alignment wrapText="1"/>
    </xf>
    <xf numFmtId="2" fontId="32" fillId="0" borderId="18" xfId="0" applyNumberFormat="1" applyFont="1" applyBorder="1" applyAlignment="1">
      <alignment horizontal="center" wrapText="1"/>
    </xf>
    <xf numFmtId="2" fontId="32" fillId="0" borderId="18" xfId="0" applyNumberFormat="1" applyFont="1" applyBorder="1" applyAlignment="1">
      <alignment wrapText="1"/>
    </xf>
    <xf numFmtId="2" fontId="32" fillId="0" borderId="10" xfId="0" applyNumberFormat="1" applyFont="1" applyBorder="1" applyAlignment="1">
      <alignment horizontal="left" wrapText="1"/>
    </xf>
    <xf numFmtId="2" fontId="28" fillId="0" borderId="10" xfId="0" applyNumberFormat="1" applyFont="1" applyBorder="1" applyAlignment="1">
      <alignment horizontal="center" wrapText="1"/>
    </xf>
    <xf numFmtId="0" fontId="32" fillId="0" borderId="0" xfId="0" applyNumberFormat="1" applyFont="1" applyBorder="1" applyAlignment="1">
      <alignment horizontal="center" wrapText="1"/>
    </xf>
    <xf numFmtId="2" fontId="32" fillId="0" borderId="0" xfId="0" applyNumberFormat="1" applyFont="1" applyBorder="1" applyAlignment="1">
      <alignment horizont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11" xfId="0" applyNumberFormat="1" applyFont="1" applyBorder="1" applyAlignment="1">
      <alignment horizontal="left" wrapText="1"/>
    </xf>
    <xf numFmtId="2" fontId="28" fillId="0" borderId="22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1" fontId="32" fillId="0" borderId="23" xfId="0" applyNumberFormat="1" applyFont="1" applyBorder="1" applyAlignment="1">
      <alignment horizontal="center" wrapText="1"/>
    </xf>
    <xf numFmtId="1" fontId="32" fillId="0" borderId="19" xfId="0" applyNumberFormat="1" applyFont="1" applyBorder="1" applyAlignment="1">
      <alignment horizontal="center" wrapText="1"/>
    </xf>
    <xf numFmtId="1" fontId="28" fillId="0" borderId="11" xfId="0" applyNumberFormat="1" applyFont="1" applyBorder="1" applyAlignment="1">
      <alignment horizontal="center" wrapText="1"/>
    </xf>
    <xf numFmtId="2" fontId="28" fillId="0" borderId="0" xfId="0" applyNumberFormat="1" applyFont="1" applyFill="1" applyAlignment="1">
      <alignment/>
    </xf>
    <xf numFmtId="2" fontId="28" fillId="0" borderId="18" xfId="0" applyNumberFormat="1" applyFont="1" applyBorder="1" applyAlignment="1">
      <alignment horizontal="left" wrapText="1"/>
    </xf>
    <xf numFmtId="0" fontId="28" fillId="0" borderId="18" xfId="0" applyNumberFormat="1" applyFont="1" applyBorder="1" applyAlignment="1">
      <alignment horizontal="center" wrapText="1"/>
    </xf>
    <xf numFmtId="2" fontId="28" fillId="0" borderId="0" xfId="0" applyNumberFormat="1" applyFont="1" applyBorder="1" applyAlignment="1">
      <alignment/>
    </xf>
    <xf numFmtId="0" fontId="28" fillId="0" borderId="16" xfId="0" applyNumberFormat="1" applyFont="1" applyBorder="1" applyAlignment="1">
      <alignment horizontal="center" wrapText="1"/>
    </xf>
    <xf numFmtId="2" fontId="32" fillId="0" borderId="27" xfId="0" applyNumberFormat="1" applyFont="1" applyBorder="1" applyAlignment="1">
      <alignment wrapText="1"/>
    </xf>
    <xf numFmtId="49" fontId="28" fillId="0" borderId="24" xfId="0" applyNumberFormat="1" applyFont="1" applyBorder="1" applyAlignment="1">
      <alignment horizontal="center" wrapText="1"/>
    </xf>
    <xf numFmtId="2" fontId="28" fillId="0" borderId="20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2" fontId="28" fillId="0" borderId="0" xfId="0" applyNumberFormat="1" applyFont="1" applyAlignment="1">
      <alignment textRotation="45"/>
    </xf>
    <xf numFmtId="0" fontId="32" fillId="0" borderId="17" xfId="0" applyNumberFormat="1" applyFont="1" applyBorder="1" applyAlignment="1">
      <alignment horizontal="center" wrapText="1"/>
    </xf>
    <xf numFmtId="2" fontId="32" fillId="0" borderId="0" xfId="0" applyNumberFormat="1" applyFont="1" applyBorder="1" applyAlignment="1">
      <alignment horizontal="left"/>
    </xf>
    <xf numFmtId="2" fontId="32" fillId="0" borderId="24" xfId="0" applyNumberFormat="1" applyFont="1" applyBorder="1" applyAlignment="1">
      <alignment horizontal="center" wrapText="1"/>
    </xf>
    <xf numFmtId="0" fontId="32" fillId="0" borderId="19" xfId="0" applyFont="1" applyBorder="1" applyAlignment="1">
      <alignment horizontal="center"/>
    </xf>
    <xf numFmtId="0" fontId="27" fillId="0" borderId="24" xfId="0" applyNumberFormat="1" applyFont="1" applyBorder="1" applyAlignment="1">
      <alignment horizontal="center" textRotation="90" wrapText="1"/>
    </xf>
    <xf numFmtId="0" fontId="27" fillId="0" borderId="11" xfId="0" applyNumberFormat="1" applyFont="1" applyBorder="1" applyAlignment="1">
      <alignment horizontal="center" textRotation="90" wrapText="1"/>
    </xf>
    <xf numFmtId="0" fontId="27" fillId="0" borderId="22" xfId="0" applyNumberFormat="1" applyFont="1" applyBorder="1" applyAlignment="1">
      <alignment horizontal="center" wrapText="1"/>
    </xf>
    <xf numFmtId="0" fontId="27" fillId="0" borderId="17" xfId="0" applyNumberFormat="1" applyFont="1" applyBorder="1" applyAlignment="1">
      <alignment horizontal="center" wrapText="1"/>
    </xf>
    <xf numFmtId="2" fontId="27" fillId="0" borderId="22" xfId="0" applyNumberFormat="1" applyFont="1" applyBorder="1" applyAlignment="1">
      <alignment horizontal="left" wrapText="1"/>
    </xf>
    <xf numFmtId="2" fontId="27" fillId="0" borderId="17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center" wrapText="1"/>
    </xf>
    <xf numFmtId="0" fontId="27" fillId="0" borderId="29" xfId="0" applyNumberFormat="1" applyFont="1" applyBorder="1" applyAlignment="1">
      <alignment horizontal="center" wrapText="1"/>
    </xf>
    <xf numFmtId="0" fontId="27" fillId="0" borderId="21" xfId="0" applyNumberFormat="1" applyFont="1" applyBorder="1" applyAlignment="1">
      <alignment horizontal="center" wrapText="1"/>
    </xf>
    <xf numFmtId="0" fontId="27" fillId="0" borderId="18" xfId="0" applyNumberFormat="1" applyFont="1" applyBorder="1" applyAlignment="1">
      <alignment horizontal="center" wrapText="1"/>
    </xf>
    <xf numFmtId="0" fontId="27" fillId="0" borderId="20" xfId="0" applyNumberFormat="1" applyFont="1" applyBorder="1" applyAlignment="1">
      <alignment horizontal="center" wrapText="1"/>
    </xf>
    <xf numFmtId="2" fontId="27" fillId="0" borderId="22" xfId="0" applyNumberFormat="1" applyFont="1" applyBorder="1" applyAlignment="1">
      <alignment horizontal="center" wrapText="1"/>
    </xf>
    <xf numFmtId="2" fontId="27" fillId="0" borderId="20" xfId="0" applyNumberFormat="1" applyFont="1" applyBorder="1" applyAlignment="1">
      <alignment horizontal="center" wrapText="1"/>
    </xf>
    <xf numFmtId="2" fontId="27" fillId="0" borderId="17" xfId="0" applyNumberFormat="1" applyFont="1" applyBorder="1" applyAlignment="1">
      <alignment horizontal="center" wrapText="1"/>
    </xf>
    <xf numFmtId="0" fontId="27" fillId="0" borderId="24" xfId="0" applyNumberFormat="1" applyFont="1" applyBorder="1" applyAlignment="1">
      <alignment horizontal="center" wrapText="1"/>
    </xf>
    <xf numFmtId="0" fontId="27" fillId="0" borderId="11" xfId="0" applyNumberFormat="1" applyFont="1" applyBorder="1" applyAlignment="1">
      <alignment horizontal="center" wrapText="1"/>
    </xf>
    <xf numFmtId="2" fontId="27" fillId="0" borderId="24" xfId="0" applyNumberFormat="1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 wrapText="1"/>
    </xf>
    <xf numFmtId="2" fontId="32" fillId="0" borderId="0" xfId="0" applyNumberFormat="1" applyFont="1" applyBorder="1" applyAlignment="1">
      <alignment horizontal="center" wrapText="1"/>
    </xf>
    <xf numFmtId="0" fontId="32" fillId="0" borderId="24" xfId="0" applyNumberFormat="1" applyFont="1" applyBorder="1" applyAlignment="1">
      <alignment horizontal="center" wrapText="1"/>
    </xf>
    <xf numFmtId="0" fontId="32" fillId="0" borderId="11" xfId="0" applyNumberFormat="1" applyFont="1" applyBorder="1" applyAlignment="1">
      <alignment horizontal="center" wrapText="1"/>
    </xf>
    <xf numFmtId="2" fontId="32" fillId="0" borderId="22" xfId="0" applyNumberFormat="1" applyFont="1" applyBorder="1" applyAlignment="1">
      <alignment horizontal="center" wrapText="1"/>
    </xf>
    <xf numFmtId="2" fontId="32" fillId="0" borderId="20" xfId="0" applyNumberFormat="1" applyFont="1" applyBorder="1" applyAlignment="1">
      <alignment horizontal="center" wrapText="1"/>
    </xf>
    <xf numFmtId="2" fontId="32" fillId="0" borderId="17" xfId="0" applyNumberFormat="1" applyFont="1" applyBorder="1" applyAlignment="1">
      <alignment horizontal="center" wrapText="1"/>
    </xf>
    <xf numFmtId="0" fontId="32" fillId="0" borderId="22" xfId="0" applyNumberFormat="1" applyFont="1" applyBorder="1" applyAlignment="1">
      <alignment horizontal="center" wrapText="1"/>
    </xf>
    <xf numFmtId="0" fontId="32" fillId="0" borderId="20" xfId="0" applyNumberFormat="1" applyFont="1" applyBorder="1" applyAlignment="1">
      <alignment horizontal="center" wrapText="1"/>
    </xf>
    <xf numFmtId="2" fontId="32" fillId="0" borderId="22" xfId="0" applyNumberFormat="1" applyFont="1" applyBorder="1" applyAlignment="1">
      <alignment horizontal="left" wrapText="1"/>
    </xf>
    <xf numFmtId="2" fontId="32" fillId="0" borderId="20" xfId="0" applyNumberFormat="1" applyFont="1" applyBorder="1" applyAlignment="1">
      <alignment horizontal="left" wrapText="1"/>
    </xf>
    <xf numFmtId="2" fontId="32" fillId="0" borderId="17" xfId="0" applyNumberFormat="1" applyFont="1" applyBorder="1" applyAlignment="1">
      <alignment horizontal="left" wrapText="1"/>
    </xf>
    <xf numFmtId="0" fontId="32" fillId="0" borderId="30" xfId="0" applyNumberFormat="1" applyFont="1" applyBorder="1" applyAlignment="1">
      <alignment horizontal="center" wrapText="1"/>
    </xf>
    <xf numFmtId="0" fontId="32" fillId="0" borderId="21" xfId="0" applyNumberFormat="1" applyFont="1" applyBorder="1" applyAlignment="1">
      <alignment horizontal="center" wrapText="1"/>
    </xf>
    <xf numFmtId="49" fontId="32" fillId="0" borderId="27" xfId="0" applyNumberFormat="1" applyFont="1" applyBorder="1" applyAlignment="1">
      <alignment horizontal="center" wrapText="1"/>
    </xf>
    <xf numFmtId="49" fontId="32" fillId="0" borderId="18" xfId="0" applyNumberFormat="1" applyFont="1" applyBorder="1" applyAlignment="1">
      <alignment horizontal="center" wrapText="1"/>
    </xf>
    <xf numFmtId="49" fontId="32" fillId="0" borderId="29" xfId="0" applyNumberFormat="1" applyFont="1" applyBorder="1" applyAlignment="1">
      <alignment horizontal="center" wrapText="1"/>
    </xf>
    <xf numFmtId="0" fontId="32" fillId="0" borderId="28" xfId="0" applyNumberFormat="1" applyFont="1" applyBorder="1" applyAlignment="1">
      <alignment horizontal="center" wrapText="1"/>
    </xf>
    <xf numFmtId="2" fontId="32" fillId="0" borderId="31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0"/>
  <sheetViews>
    <sheetView tabSelected="1" view="pageBreakPreview" zoomScale="25" zoomScaleSheetLayoutView="25" zoomScalePageLayoutView="0" workbookViewId="0" topLeftCell="A1">
      <selection activeCell="A295" sqref="A295:AE295"/>
    </sheetView>
  </sheetViews>
  <sheetFormatPr defaultColWidth="9.140625" defaultRowHeight="12.75"/>
  <cols>
    <col min="1" max="1" width="26.7109375" style="82" customWidth="1"/>
    <col min="2" max="2" width="113.00390625" style="81" customWidth="1"/>
    <col min="3" max="3" width="32.7109375" style="82" customWidth="1"/>
    <col min="4" max="4" width="23.00390625" style="82" customWidth="1"/>
    <col min="5" max="5" width="22.7109375" style="82" customWidth="1"/>
    <col min="6" max="6" width="23.421875" style="82" customWidth="1"/>
    <col min="7" max="7" width="24.57421875" style="82" customWidth="1"/>
    <col min="8" max="8" width="30.8515625" style="82" customWidth="1"/>
    <col min="9" max="9" width="29.00390625" style="82" customWidth="1"/>
    <col min="10" max="10" width="33.7109375" style="82" customWidth="1"/>
    <col min="11" max="11" width="28.57421875" style="82" customWidth="1"/>
    <col min="12" max="12" width="31.140625" style="82" customWidth="1"/>
    <col min="13" max="13" width="24.28125" style="82" customWidth="1"/>
    <col min="14" max="14" width="27.57421875" style="82" customWidth="1"/>
    <col min="15" max="15" width="28.28125" style="82" customWidth="1"/>
    <col min="16" max="16" width="25.7109375" style="82" customWidth="1"/>
    <col min="17" max="17" width="28.421875" style="82" customWidth="1"/>
    <col min="18" max="18" width="25.28125" style="82" customWidth="1"/>
    <col min="19" max="19" width="26.28125" style="82" customWidth="1"/>
    <col min="20" max="20" width="29.8515625" style="82" customWidth="1"/>
    <col min="21" max="21" width="25.8515625" style="82" customWidth="1"/>
    <col min="22" max="22" width="23.7109375" style="82" customWidth="1"/>
    <col min="23" max="23" width="31.7109375" style="82" customWidth="1"/>
    <col min="24" max="24" width="23.28125" style="82" customWidth="1"/>
    <col min="25" max="25" width="30.00390625" style="82" customWidth="1"/>
    <col min="26" max="26" width="25.57421875" style="82" customWidth="1"/>
    <col min="27" max="28" width="25.00390625" style="82" customWidth="1"/>
    <col min="29" max="29" width="26.7109375" style="82" customWidth="1"/>
    <col min="30" max="30" width="25.28125" style="82" customWidth="1"/>
    <col min="31" max="31" width="33.7109375" style="82" customWidth="1"/>
    <col min="32" max="32" width="13.7109375" style="81" bestFit="1" customWidth="1"/>
    <col min="33" max="33" width="9.140625" style="81" customWidth="1"/>
    <col min="34" max="34" width="10.8515625" style="81" bestFit="1" customWidth="1"/>
    <col min="35" max="16384" width="9.140625" style="81" customWidth="1"/>
  </cols>
  <sheetData>
    <row r="1" spans="1:32" ht="46.5">
      <c r="A1" s="172" t="s">
        <v>191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2" ht="47.25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</row>
    <row r="3" spans="1:31" ht="47.25" thickBot="1">
      <c r="A3" s="156" t="s">
        <v>259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57"/>
    </row>
    <row r="4" spans="1:31" ht="47.25" thickBot="1">
      <c r="A4" s="165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</row>
    <row r="5" spans="1:31" ht="46.5">
      <c r="A5" s="168" t="s">
        <v>39</v>
      </c>
      <c r="B5" s="170" t="s">
        <v>26</v>
      </c>
      <c r="C5" s="154" t="s">
        <v>114</v>
      </c>
      <c r="D5" s="154" t="s">
        <v>115</v>
      </c>
      <c r="E5" s="154" t="s">
        <v>116</v>
      </c>
      <c r="F5" s="154" t="s">
        <v>117</v>
      </c>
      <c r="G5" s="154" t="s">
        <v>109</v>
      </c>
      <c r="H5" s="154" t="s">
        <v>118</v>
      </c>
      <c r="I5" s="154" t="s">
        <v>246</v>
      </c>
      <c r="J5" s="154" t="s">
        <v>247</v>
      </c>
      <c r="K5" s="90"/>
      <c r="L5" s="154" t="s">
        <v>217</v>
      </c>
      <c r="M5" s="154" t="s">
        <v>121</v>
      </c>
      <c r="N5" s="154" t="s">
        <v>81</v>
      </c>
      <c r="O5" s="154" t="s">
        <v>82</v>
      </c>
      <c r="P5" s="154" t="s">
        <v>122</v>
      </c>
      <c r="Q5" s="154" t="s">
        <v>83</v>
      </c>
      <c r="R5" s="154" t="s">
        <v>123</v>
      </c>
      <c r="S5" s="154" t="s">
        <v>126</v>
      </c>
      <c r="T5" s="154" t="s">
        <v>143</v>
      </c>
      <c r="U5" s="90"/>
      <c r="V5" s="154" t="s">
        <v>248</v>
      </c>
      <c r="W5" s="154" t="s">
        <v>249</v>
      </c>
      <c r="X5" s="154" t="s">
        <v>250</v>
      </c>
      <c r="Y5" s="154" t="s">
        <v>84</v>
      </c>
      <c r="Z5" s="154" t="s">
        <v>85</v>
      </c>
      <c r="AA5" s="154" t="s">
        <v>89</v>
      </c>
      <c r="AB5" s="90"/>
      <c r="AC5" s="154" t="s">
        <v>124</v>
      </c>
      <c r="AD5" s="154" t="s">
        <v>86</v>
      </c>
      <c r="AE5" s="154" t="s">
        <v>125</v>
      </c>
    </row>
    <row r="6" spans="1:31" ht="344.25" thickBot="1">
      <c r="A6" s="169"/>
      <c r="B6" s="171"/>
      <c r="C6" s="155"/>
      <c r="D6" s="155"/>
      <c r="E6" s="155"/>
      <c r="F6" s="155"/>
      <c r="G6" s="155"/>
      <c r="H6" s="155"/>
      <c r="I6" s="155"/>
      <c r="J6" s="155"/>
      <c r="K6" s="91" t="s">
        <v>119</v>
      </c>
      <c r="L6" s="155"/>
      <c r="M6" s="155"/>
      <c r="N6" s="155"/>
      <c r="O6" s="155"/>
      <c r="P6" s="155"/>
      <c r="Q6" s="155"/>
      <c r="R6" s="155"/>
      <c r="S6" s="155"/>
      <c r="T6" s="155"/>
      <c r="U6" s="91" t="s">
        <v>111</v>
      </c>
      <c r="V6" s="155"/>
      <c r="W6" s="155"/>
      <c r="X6" s="155"/>
      <c r="Y6" s="155"/>
      <c r="Z6" s="155"/>
      <c r="AA6" s="155"/>
      <c r="AB6" s="91" t="s">
        <v>110</v>
      </c>
      <c r="AC6" s="155"/>
      <c r="AD6" s="155"/>
      <c r="AE6" s="155"/>
    </row>
    <row r="7" spans="1:31" s="96" customFormat="1" ht="47.25" thickBot="1">
      <c r="A7" s="95">
        <v>1</v>
      </c>
      <c r="B7" s="68">
        <v>2</v>
      </c>
      <c r="C7" s="69" t="s">
        <v>112</v>
      </c>
      <c r="D7" s="70">
        <v>4</v>
      </c>
      <c r="E7" s="69">
        <v>5</v>
      </c>
      <c r="F7" s="69">
        <v>6</v>
      </c>
      <c r="G7" s="69">
        <v>7</v>
      </c>
      <c r="H7" s="69">
        <v>8</v>
      </c>
      <c r="I7" s="69" t="s">
        <v>113</v>
      </c>
      <c r="J7" s="70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94">
        <v>16</v>
      </c>
      <c r="Q7" s="69">
        <v>17</v>
      </c>
      <c r="R7" s="94">
        <v>18</v>
      </c>
      <c r="S7" s="69">
        <v>19</v>
      </c>
      <c r="T7" s="94">
        <v>20</v>
      </c>
      <c r="U7" s="94">
        <v>21</v>
      </c>
      <c r="V7" s="69">
        <v>22</v>
      </c>
      <c r="W7" s="69">
        <v>23</v>
      </c>
      <c r="X7" s="94">
        <v>24</v>
      </c>
      <c r="Y7" s="69">
        <v>25</v>
      </c>
      <c r="Z7" s="69">
        <v>26</v>
      </c>
      <c r="AA7" s="69">
        <v>27</v>
      </c>
      <c r="AB7" s="94">
        <v>28</v>
      </c>
      <c r="AC7" s="69">
        <v>29</v>
      </c>
      <c r="AD7" s="69">
        <v>30</v>
      </c>
      <c r="AE7" s="92">
        <v>31</v>
      </c>
    </row>
    <row r="8" spans="1:31" ht="47.25" thickBot="1">
      <c r="A8" s="165" t="s">
        <v>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7"/>
    </row>
    <row r="9" spans="1:32" ht="47.25" thickBot="1">
      <c r="A9" s="44">
        <v>63</v>
      </c>
      <c r="B9" s="71" t="s">
        <v>198</v>
      </c>
      <c r="C9" s="46"/>
      <c r="D9" s="57"/>
      <c r="E9" s="57"/>
      <c r="F9" s="57"/>
      <c r="G9" s="57"/>
      <c r="H9" s="51"/>
      <c r="I9" s="51"/>
      <c r="J9" s="51"/>
      <c r="K9" s="51"/>
      <c r="L9" s="51"/>
      <c r="M9" s="51"/>
      <c r="N9" s="51"/>
      <c r="O9" s="52"/>
      <c r="P9" s="46"/>
      <c r="Q9" s="52"/>
      <c r="R9" s="46">
        <v>20</v>
      </c>
      <c r="S9" s="52"/>
      <c r="T9" s="46"/>
      <c r="U9" s="52"/>
      <c r="V9" s="46"/>
      <c r="W9" s="46"/>
      <c r="X9" s="52"/>
      <c r="Y9" s="46"/>
      <c r="Z9" s="46"/>
      <c r="AA9" s="46"/>
      <c r="AB9" s="46"/>
      <c r="AC9" s="52"/>
      <c r="AD9" s="46"/>
      <c r="AE9" s="46"/>
      <c r="AF9" s="72"/>
    </row>
    <row r="10" spans="1:31" ht="47.25" thickBot="1">
      <c r="A10" s="44">
        <v>26</v>
      </c>
      <c r="B10" s="45" t="s">
        <v>66</v>
      </c>
      <c r="C10" s="4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4"/>
      <c r="O10" s="52"/>
      <c r="P10" s="44"/>
      <c r="Q10" s="52"/>
      <c r="R10" s="44"/>
      <c r="S10" s="52"/>
      <c r="T10" s="66"/>
      <c r="U10" s="67">
        <v>46</v>
      </c>
      <c r="V10" s="46"/>
      <c r="W10" s="52"/>
      <c r="X10" s="46"/>
      <c r="Y10" s="52"/>
      <c r="Z10" s="44"/>
      <c r="AA10" s="44"/>
      <c r="AB10" s="52"/>
      <c r="AC10" s="44"/>
      <c r="AD10" s="66"/>
      <c r="AE10" s="44"/>
    </row>
    <row r="11" spans="1:31" ht="47.25" thickBot="1">
      <c r="A11" s="46">
        <v>13</v>
      </c>
      <c r="B11" s="50" t="s">
        <v>9</v>
      </c>
      <c r="C11" s="46"/>
      <c r="D11" s="57"/>
      <c r="E11" s="57"/>
      <c r="F11" s="57"/>
      <c r="G11" s="57"/>
      <c r="H11" s="51"/>
      <c r="I11" s="51"/>
      <c r="J11" s="51"/>
      <c r="K11" s="51"/>
      <c r="L11" s="51"/>
      <c r="M11" s="51"/>
      <c r="N11" s="52"/>
      <c r="O11" s="46">
        <v>9</v>
      </c>
      <c r="P11" s="52"/>
      <c r="Q11" s="46"/>
      <c r="R11" s="52"/>
      <c r="S11" s="46"/>
      <c r="T11" s="46"/>
      <c r="U11" s="52"/>
      <c r="V11" s="46"/>
      <c r="W11" s="52"/>
      <c r="X11" s="46"/>
      <c r="Y11" s="46"/>
      <c r="Z11" s="52"/>
      <c r="AA11" s="46">
        <v>0.5</v>
      </c>
      <c r="AB11" s="46"/>
      <c r="AC11" s="52"/>
      <c r="AD11" s="46"/>
      <c r="AE11" s="51"/>
    </row>
    <row r="12" spans="1:31" ht="47.25" thickBot="1">
      <c r="A12" s="44">
        <v>16</v>
      </c>
      <c r="B12" s="45" t="s">
        <v>54</v>
      </c>
      <c r="C12" s="51">
        <v>20</v>
      </c>
      <c r="D12" s="57"/>
      <c r="E12" s="57"/>
      <c r="F12" s="57"/>
      <c r="G12" s="57"/>
      <c r="H12" s="51"/>
      <c r="I12" s="51"/>
      <c r="J12" s="51"/>
      <c r="K12" s="51"/>
      <c r="L12" s="51"/>
      <c r="M12" s="51"/>
      <c r="N12" s="52"/>
      <c r="O12" s="46"/>
      <c r="P12" s="46">
        <v>4</v>
      </c>
      <c r="Q12" s="46"/>
      <c r="R12" s="52"/>
      <c r="S12" s="46"/>
      <c r="T12" s="52"/>
      <c r="U12" s="44"/>
      <c r="V12" s="46"/>
      <c r="W12" s="44"/>
      <c r="X12" s="52"/>
      <c r="Y12" s="46"/>
      <c r="Z12" s="46"/>
      <c r="AA12" s="52"/>
      <c r="AB12" s="44"/>
      <c r="AC12" s="46"/>
      <c r="AD12" s="52"/>
      <c r="AE12" s="46"/>
    </row>
    <row r="13" spans="1:31" ht="140.25" thickBot="1">
      <c r="A13" s="44" t="s">
        <v>45</v>
      </c>
      <c r="B13" s="45" t="s">
        <v>133</v>
      </c>
      <c r="C13" s="46"/>
      <c r="D13" s="51"/>
      <c r="E13" s="51"/>
      <c r="F13" s="51"/>
      <c r="G13" s="51"/>
      <c r="H13" s="51"/>
      <c r="I13" s="57"/>
      <c r="J13" s="57"/>
      <c r="K13" s="57"/>
      <c r="L13" s="57"/>
      <c r="M13" s="57"/>
      <c r="N13" s="67">
        <v>10</v>
      </c>
      <c r="O13" s="46"/>
      <c r="P13" s="57"/>
      <c r="Q13" s="57"/>
      <c r="R13" s="57"/>
      <c r="S13" s="57"/>
      <c r="T13" s="46"/>
      <c r="U13" s="57"/>
      <c r="V13" s="57"/>
      <c r="W13" s="65"/>
      <c r="X13" s="46"/>
      <c r="Y13" s="57"/>
      <c r="Z13" s="57"/>
      <c r="AA13" s="57"/>
      <c r="AB13" s="57"/>
      <c r="AC13" s="57"/>
      <c r="AD13" s="57"/>
      <c r="AE13" s="57"/>
    </row>
    <row r="14" spans="1:31" ht="47.25" thickBot="1">
      <c r="A14" s="44"/>
      <c r="B14" s="45" t="s">
        <v>8</v>
      </c>
      <c r="C14" s="46">
        <f>SUM(C9+C11+C12+C13)</f>
        <v>20</v>
      </c>
      <c r="D14" s="46">
        <f aca="true" t="shared" si="0" ref="D14:K14">SUM(D9+D11+D12+D13)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aca="true" t="shared" si="1" ref="L14:W14">SUM(L9:L13)</f>
        <v>0</v>
      </c>
      <c r="M14" s="46">
        <f t="shared" si="1"/>
        <v>0</v>
      </c>
      <c r="N14" s="46">
        <f t="shared" si="1"/>
        <v>10</v>
      </c>
      <c r="O14" s="46">
        <f t="shared" si="1"/>
        <v>9</v>
      </c>
      <c r="P14" s="46">
        <f t="shared" si="1"/>
        <v>4</v>
      </c>
      <c r="Q14" s="46">
        <f t="shared" si="1"/>
        <v>0</v>
      </c>
      <c r="R14" s="46">
        <f t="shared" si="1"/>
        <v>20</v>
      </c>
      <c r="S14" s="46">
        <f t="shared" si="1"/>
        <v>0</v>
      </c>
      <c r="T14" s="46">
        <f t="shared" si="1"/>
        <v>0</v>
      </c>
      <c r="U14" s="46">
        <f t="shared" si="1"/>
        <v>46</v>
      </c>
      <c r="V14" s="46">
        <f t="shared" si="1"/>
        <v>0</v>
      </c>
      <c r="W14" s="46">
        <f t="shared" si="1"/>
        <v>0</v>
      </c>
      <c r="X14" s="46">
        <f aca="true" t="shared" si="2" ref="X14:AE14">SUM(X9,X11,X12)</f>
        <v>0</v>
      </c>
      <c r="Y14" s="46">
        <f t="shared" si="2"/>
        <v>0</v>
      </c>
      <c r="Z14" s="46">
        <f t="shared" si="2"/>
        <v>0</v>
      </c>
      <c r="AA14" s="46">
        <f t="shared" si="2"/>
        <v>0.5</v>
      </c>
      <c r="AB14" s="46">
        <f t="shared" si="2"/>
        <v>0</v>
      </c>
      <c r="AC14" s="46">
        <f t="shared" si="2"/>
        <v>0</v>
      </c>
      <c r="AD14" s="46">
        <f t="shared" si="2"/>
        <v>0</v>
      </c>
      <c r="AE14" s="46">
        <f t="shared" si="2"/>
        <v>0</v>
      </c>
    </row>
    <row r="15" spans="1:31" ht="47.25" thickBot="1">
      <c r="A15" s="156" t="s">
        <v>107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57"/>
    </row>
    <row r="16" spans="1:31" ht="47.25" thickBot="1">
      <c r="A16" s="44" t="s">
        <v>45</v>
      </c>
      <c r="B16" s="48" t="s">
        <v>108</v>
      </c>
      <c r="C16" s="46"/>
      <c r="D16" s="51"/>
      <c r="E16" s="51"/>
      <c r="F16" s="51"/>
      <c r="G16" s="51"/>
      <c r="H16" s="51"/>
      <c r="I16" s="51"/>
      <c r="J16" s="51"/>
      <c r="K16" s="51">
        <v>90</v>
      </c>
      <c r="L16" s="51"/>
      <c r="M16" s="51"/>
      <c r="N16" s="52"/>
      <c r="O16" s="46"/>
      <c r="P16" s="52"/>
      <c r="Q16" s="46"/>
      <c r="R16" s="52"/>
      <c r="S16" s="46"/>
      <c r="T16" s="52"/>
      <c r="U16" s="46"/>
      <c r="V16" s="46"/>
      <c r="W16" s="52"/>
      <c r="X16" s="46"/>
      <c r="Y16" s="46"/>
      <c r="Z16" s="52"/>
      <c r="AA16" s="46"/>
      <c r="AB16" s="52"/>
      <c r="AC16" s="46"/>
      <c r="AD16" s="46"/>
      <c r="AE16" s="51"/>
    </row>
    <row r="17" spans="1:31" ht="47.25" thickBot="1">
      <c r="A17" s="44" t="s">
        <v>45</v>
      </c>
      <c r="B17" s="45" t="s">
        <v>127</v>
      </c>
      <c r="C17" s="46"/>
      <c r="D17" s="51"/>
      <c r="E17" s="51"/>
      <c r="F17" s="51"/>
      <c r="G17" s="51"/>
      <c r="H17" s="51"/>
      <c r="I17" s="51"/>
      <c r="J17" s="51"/>
      <c r="K17" s="51"/>
      <c r="L17" s="51">
        <v>100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7"/>
    </row>
    <row r="18" spans="1:31" ht="47.25" thickBot="1">
      <c r="A18" s="44"/>
      <c r="B18" s="45" t="s">
        <v>37</v>
      </c>
      <c r="C18" s="51">
        <f>SUM(C16:C17)</f>
        <v>0</v>
      </c>
      <c r="D18" s="51">
        <f aca="true" t="shared" si="3" ref="D18:R18">SUM(D16:D17)</f>
        <v>0</v>
      </c>
      <c r="E18" s="51">
        <f t="shared" si="3"/>
        <v>0</v>
      </c>
      <c r="F18" s="51">
        <f t="shared" si="3"/>
        <v>0</v>
      </c>
      <c r="G18" s="51">
        <f t="shared" si="3"/>
        <v>0</v>
      </c>
      <c r="H18" s="51">
        <f t="shared" si="3"/>
        <v>0</v>
      </c>
      <c r="I18" s="51">
        <f t="shared" si="3"/>
        <v>0</v>
      </c>
      <c r="J18" s="51">
        <f t="shared" si="3"/>
        <v>0</v>
      </c>
      <c r="K18" s="51">
        <f t="shared" si="3"/>
        <v>90</v>
      </c>
      <c r="L18" s="51">
        <f t="shared" si="3"/>
        <v>100</v>
      </c>
      <c r="M18" s="51">
        <f t="shared" si="3"/>
        <v>0</v>
      </c>
      <c r="N18" s="51">
        <f t="shared" si="3"/>
        <v>0</v>
      </c>
      <c r="O18" s="51">
        <f t="shared" si="3"/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aca="true" t="shared" si="4" ref="S18:AD18">SUM(S16)</f>
        <v>0</v>
      </c>
      <c r="T18" s="51">
        <f t="shared" si="4"/>
        <v>0</v>
      </c>
      <c r="U18" s="51">
        <f t="shared" si="4"/>
        <v>0</v>
      </c>
      <c r="V18" s="51">
        <f t="shared" si="4"/>
        <v>0</v>
      </c>
      <c r="W18" s="51">
        <f t="shared" si="4"/>
        <v>0</v>
      </c>
      <c r="X18" s="51">
        <f t="shared" si="4"/>
        <v>0</v>
      </c>
      <c r="Y18" s="51">
        <f t="shared" si="4"/>
        <v>0</v>
      </c>
      <c r="Z18" s="51">
        <f t="shared" si="4"/>
        <v>0</v>
      </c>
      <c r="AA18" s="51">
        <f t="shared" si="4"/>
        <v>0</v>
      </c>
      <c r="AB18" s="51">
        <f t="shared" si="4"/>
        <v>0</v>
      </c>
      <c r="AC18" s="51">
        <f t="shared" si="4"/>
        <v>0</v>
      </c>
      <c r="AD18" s="51">
        <f t="shared" si="4"/>
        <v>0</v>
      </c>
      <c r="AE18" s="51">
        <f>SUM(AE16)</f>
        <v>0</v>
      </c>
    </row>
    <row r="19" spans="1:31" ht="47.25" thickBot="1">
      <c r="A19" s="165" t="s">
        <v>40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7"/>
    </row>
    <row r="20" spans="1:31" ht="93.75" thickBot="1">
      <c r="A20" s="46">
        <v>82</v>
      </c>
      <c r="B20" s="45" t="s">
        <v>192</v>
      </c>
      <c r="C20" s="46"/>
      <c r="D20" s="51"/>
      <c r="E20" s="51"/>
      <c r="F20" s="51"/>
      <c r="G20" s="51"/>
      <c r="H20" s="51"/>
      <c r="I20" s="51"/>
      <c r="J20" s="51">
        <v>42.2</v>
      </c>
      <c r="K20" s="51"/>
      <c r="L20" s="51"/>
      <c r="M20" s="51"/>
      <c r="N20" s="52"/>
      <c r="O20" s="44"/>
      <c r="P20" s="52"/>
      <c r="Q20" s="44">
        <v>4</v>
      </c>
      <c r="R20" s="52"/>
      <c r="S20" s="44"/>
      <c r="T20" s="52"/>
      <c r="U20" s="46"/>
      <c r="V20" s="44"/>
      <c r="W20" s="52"/>
      <c r="X20" s="46"/>
      <c r="Y20" s="44"/>
      <c r="Z20" s="52"/>
      <c r="AA20" s="44"/>
      <c r="AB20" s="46"/>
      <c r="AC20" s="52"/>
      <c r="AD20" s="44"/>
      <c r="AE20" s="92"/>
    </row>
    <row r="21" spans="1:31" ht="93.75" thickBot="1">
      <c r="A21" s="44">
        <v>57</v>
      </c>
      <c r="B21" s="45" t="s">
        <v>159</v>
      </c>
      <c r="C21" s="44"/>
      <c r="D21" s="51"/>
      <c r="E21" s="51">
        <v>8</v>
      </c>
      <c r="F21" s="51"/>
      <c r="G21" s="51"/>
      <c r="H21" s="51"/>
      <c r="I21" s="51">
        <v>35</v>
      </c>
      <c r="J21" s="51">
        <v>19</v>
      </c>
      <c r="K21" s="51"/>
      <c r="L21" s="51"/>
      <c r="M21" s="51"/>
      <c r="N21" s="51"/>
      <c r="O21" s="51"/>
      <c r="P21" s="51">
        <v>2.6</v>
      </c>
      <c r="Q21" s="51"/>
      <c r="R21" s="51">
        <v>2</v>
      </c>
      <c r="S21" s="51">
        <v>12</v>
      </c>
      <c r="T21" s="51"/>
      <c r="U21" s="51"/>
      <c r="V21" s="51"/>
      <c r="W21" s="51">
        <v>25</v>
      </c>
      <c r="X21" s="51"/>
      <c r="Y21" s="51"/>
      <c r="Z21" s="51"/>
      <c r="AA21" s="51"/>
      <c r="AB21" s="51"/>
      <c r="AC21" s="51"/>
      <c r="AD21" s="51"/>
      <c r="AE21" s="51"/>
    </row>
    <row r="22" spans="1:31" ht="47.25" thickBot="1">
      <c r="A22" s="44">
        <v>48</v>
      </c>
      <c r="B22" s="45" t="s">
        <v>196</v>
      </c>
      <c r="C22" s="46"/>
      <c r="D22" s="51"/>
      <c r="E22" s="51">
        <v>0.9</v>
      </c>
      <c r="F22" s="51"/>
      <c r="G22" s="51"/>
      <c r="H22" s="51"/>
      <c r="I22" s="51"/>
      <c r="J22" s="51">
        <v>14.5</v>
      </c>
      <c r="K22" s="51"/>
      <c r="L22" s="51"/>
      <c r="M22" s="51"/>
      <c r="N22" s="44"/>
      <c r="O22" s="52"/>
      <c r="P22" s="44">
        <v>2</v>
      </c>
      <c r="Q22" s="52"/>
      <c r="R22" s="44"/>
      <c r="S22" s="52"/>
      <c r="T22" s="44"/>
      <c r="U22" s="44"/>
      <c r="V22" s="44"/>
      <c r="W22" s="52">
        <v>94</v>
      </c>
      <c r="X22" s="44"/>
      <c r="Y22" s="52">
        <v>2</v>
      </c>
      <c r="Z22" s="66"/>
      <c r="AA22" s="44"/>
      <c r="AB22" s="52"/>
      <c r="AC22" s="44"/>
      <c r="AD22" s="44"/>
      <c r="AE22" s="51"/>
    </row>
    <row r="23" spans="1:31" ht="93.75" thickBot="1">
      <c r="A23" s="44" t="s">
        <v>225</v>
      </c>
      <c r="B23" s="45" t="s">
        <v>226</v>
      </c>
      <c r="C23" s="46"/>
      <c r="D23" s="51"/>
      <c r="E23" s="51"/>
      <c r="F23" s="51"/>
      <c r="G23" s="51">
        <v>48</v>
      </c>
      <c r="H23" s="51"/>
      <c r="I23" s="51"/>
      <c r="J23" s="51"/>
      <c r="K23" s="51"/>
      <c r="L23" s="51"/>
      <c r="M23" s="51"/>
      <c r="N23" s="52"/>
      <c r="O23" s="46"/>
      <c r="P23" s="46">
        <v>3</v>
      </c>
      <c r="Q23" s="52"/>
      <c r="R23" s="46"/>
      <c r="S23" s="52"/>
      <c r="T23" s="44"/>
      <c r="U23" s="52"/>
      <c r="V23" s="44"/>
      <c r="W23" s="52"/>
      <c r="X23" s="44"/>
      <c r="Y23" s="46"/>
      <c r="Z23" s="52"/>
      <c r="AA23" s="44"/>
      <c r="AB23" s="52"/>
      <c r="AC23" s="44"/>
      <c r="AD23" s="44"/>
      <c r="AE23" s="51"/>
    </row>
    <row r="24" spans="1:31" ht="47.25" thickBot="1">
      <c r="A24" s="44">
        <v>9</v>
      </c>
      <c r="B24" s="45" t="s">
        <v>74</v>
      </c>
      <c r="C24" s="46"/>
      <c r="D24" s="51"/>
      <c r="E24" s="51"/>
      <c r="F24" s="51"/>
      <c r="G24" s="51"/>
      <c r="H24" s="51"/>
      <c r="I24" s="51"/>
      <c r="J24" s="51"/>
      <c r="K24" s="51"/>
      <c r="L24" s="51"/>
      <c r="M24" s="51">
        <v>20</v>
      </c>
      <c r="N24" s="52"/>
      <c r="O24" s="44">
        <v>11</v>
      </c>
      <c r="P24" s="52"/>
      <c r="Q24" s="44"/>
      <c r="R24" s="52"/>
      <c r="S24" s="44"/>
      <c r="T24" s="44"/>
      <c r="U24" s="52"/>
      <c r="V24" s="44"/>
      <c r="W24" s="52"/>
      <c r="X24" s="44"/>
      <c r="Y24" s="44"/>
      <c r="Z24" s="52"/>
      <c r="AA24" s="44"/>
      <c r="AB24" s="52"/>
      <c r="AC24" s="44"/>
      <c r="AD24" s="66"/>
      <c r="AE24" s="44"/>
    </row>
    <row r="25" spans="1:31" ht="47.25" thickBot="1">
      <c r="A25" s="44" t="s">
        <v>45</v>
      </c>
      <c r="B25" s="45" t="s">
        <v>114</v>
      </c>
      <c r="C25" s="51">
        <v>25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44"/>
      <c r="P25" s="52"/>
      <c r="Q25" s="44"/>
      <c r="R25" s="52"/>
      <c r="S25" s="44"/>
      <c r="T25" s="44"/>
      <c r="U25" s="52"/>
      <c r="V25" s="44"/>
      <c r="W25" s="52"/>
      <c r="X25" s="44"/>
      <c r="Y25" s="44"/>
      <c r="Z25" s="52"/>
      <c r="AA25" s="44"/>
      <c r="AB25" s="52"/>
      <c r="AC25" s="44"/>
      <c r="AD25" s="44"/>
      <c r="AE25" s="51"/>
    </row>
    <row r="26" spans="1:31" ht="47.25" thickBot="1">
      <c r="A26" s="44" t="s">
        <v>45</v>
      </c>
      <c r="B26" s="45" t="s">
        <v>144</v>
      </c>
      <c r="C26" s="46"/>
      <c r="D26" s="51">
        <v>40</v>
      </c>
      <c r="E26" s="51"/>
      <c r="F26" s="51"/>
      <c r="G26" s="51"/>
      <c r="H26" s="51"/>
      <c r="I26" s="51"/>
      <c r="J26" s="51"/>
      <c r="K26" s="51"/>
      <c r="L26" s="51"/>
      <c r="M26" s="51"/>
      <c r="N26" s="67"/>
      <c r="O26" s="46"/>
      <c r="P26" s="57"/>
      <c r="Q26" s="57"/>
      <c r="R26" s="57"/>
      <c r="S26" s="57"/>
      <c r="T26" s="46"/>
      <c r="U26" s="65"/>
      <c r="V26" s="46"/>
      <c r="W26" s="65"/>
      <c r="X26" s="46"/>
      <c r="Y26" s="57"/>
      <c r="Z26" s="65"/>
      <c r="AA26" s="46"/>
      <c r="AB26" s="57"/>
      <c r="AC26" s="57"/>
      <c r="AD26" s="57"/>
      <c r="AE26" s="57"/>
    </row>
    <row r="27" spans="1:31" ht="47.25" thickBot="1">
      <c r="A27" s="46"/>
      <c r="B27" s="48" t="s">
        <v>37</v>
      </c>
      <c r="C27" s="46">
        <f aca="true" t="shared" si="5" ref="C27:AE27">SUM(C20:C26)</f>
        <v>25</v>
      </c>
      <c r="D27" s="46">
        <f t="shared" si="5"/>
        <v>40</v>
      </c>
      <c r="E27" s="46">
        <f t="shared" si="5"/>
        <v>8.9</v>
      </c>
      <c r="F27" s="46">
        <f t="shared" si="5"/>
        <v>0</v>
      </c>
      <c r="G27" s="46">
        <f t="shared" si="5"/>
        <v>48</v>
      </c>
      <c r="H27" s="46">
        <f t="shared" si="5"/>
        <v>0</v>
      </c>
      <c r="I27" s="46">
        <f t="shared" si="5"/>
        <v>35</v>
      </c>
      <c r="J27" s="46">
        <f t="shared" si="5"/>
        <v>75.7</v>
      </c>
      <c r="K27" s="46">
        <f t="shared" si="5"/>
        <v>0</v>
      </c>
      <c r="L27" s="46">
        <f t="shared" si="5"/>
        <v>0</v>
      </c>
      <c r="M27" s="46">
        <f t="shared" si="5"/>
        <v>20</v>
      </c>
      <c r="N27" s="46">
        <f t="shared" si="5"/>
        <v>0</v>
      </c>
      <c r="O27" s="46">
        <f t="shared" si="5"/>
        <v>11</v>
      </c>
      <c r="P27" s="46">
        <f t="shared" si="5"/>
        <v>7.6</v>
      </c>
      <c r="Q27" s="46">
        <f t="shared" si="5"/>
        <v>4</v>
      </c>
      <c r="R27" s="46">
        <f t="shared" si="5"/>
        <v>2</v>
      </c>
      <c r="S27" s="46">
        <f t="shared" si="5"/>
        <v>12</v>
      </c>
      <c r="T27" s="46">
        <f t="shared" si="5"/>
        <v>0</v>
      </c>
      <c r="U27" s="46">
        <f t="shared" si="5"/>
        <v>0</v>
      </c>
      <c r="V27" s="46">
        <f t="shared" si="5"/>
        <v>0</v>
      </c>
      <c r="W27" s="46">
        <f t="shared" si="5"/>
        <v>119</v>
      </c>
      <c r="X27" s="46">
        <f t="shared" si="5"/>
        <v>0</v>
      </c>
      <c r="Y27" s="46">
        <f t="shared" si="5"/>
        <v>2</v>
      </c>
      <c r="Z27" s="46">
        <f t="shared" si="5"/>
        <v>0</v>
      </c>
      <c r="AA27" s="46">
        <f t="shared" si="5"/>
        <v>0</v>
      </c>
      <c r="AB27" s="46">
        <f t="shared" si="5"/>
        <v>0</v>
      </c>
      <c r="AC27" s="46">
        <f t="shared" si="5"/>
        <v>0</v>
      </c>
      <c r="AD27" s="46">
        <f t="shared" si="5"/>
        <v>0</v>
      </c>
      <c r="AE27" s="46">
        <f t="shared" si="5"/>
        <v>0</v>
      </c>
    </row>
    <row r="28" spans="1:31" ht="47.25" thickBot="1">
      <c r="A28" s="156" t="s">
        <v>207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57"/>
    </row>
    <row r="29" spans="1:31" ht="93.75" thickBot="1">
      <c r="A29" s="46">
        <v>69</v>
      </c>
      <c r="B29" s="45" t="s">
        <v>64</v>
      </c>
      <c r="C29" s="46"/>
      <c r="D29" s="51"/>
      <c r="E29" s="51"/>
      <c r="F29" s="51"/>
      <c r="G29" s="51"/>
      <c r="H29" s="51"/>
      <c r="I29" s="51"/>
      <c r="J29" s="51">
        <v>45</v>
      </c>
      <c r="K29" s="51"/>
      <c r="L29" s="51"/>
      <c r="M29" s="51"/>
      <c r="N29" s="52"/>
      <c r="O29" s="44"/>
      <c r="P29" s="52"/>
      <c r="Q29" s="44"/>
      <c r="R29" s="52"/>
      <c r="S29" s="44"/>
      <c r="T29" s="52"/>
      <c r="U29" s="46"/>
      <c r="V29" s="44"/>
      <c r="W29" s="52"/>
      <c r="X29" s="46"/>
      <c r="Y29" s="44"/>
      <c r="Z29" s="52"/>
      <c r="AA29" s="44"/>
      <c r="AB29" s="46"/>
      <c r="AC29" s="52"/>
      <c r="AD29" s="44"/>
      <c r="AE29" s="51"/>
    </row>
    <row r="30" spans="1:31" ht="47.25" thickBot="1">
      <c r="A30" s="44">
        <v>91</v>
      </c>
      <c r="B30" s="45" t="s">
        <v>55</v>
      </c>
      <c r="C30" s="46"/>
      <c r="D30" s="51"/>
      <c r="E30" s="51"/>
      <c r="F30" s="51"/>
      <c r="G30" s="51"/>
      <c r="H30" s="51"/>
      <c r="I30" s="51">
        <v>102</v>
      </c>
      <c r="J30" s="51"/>
      <c r="K30" s="51"/>
      <c r="L30" s="51"/>
      <c r="M30" s="51"/>
      <c r="N30" s="52"/>
      <c r="O30" s="44"/>
      <c r="P30" s="52">
        <v>4</v>
      </c>
      <c r="Q30" s="44"/>
      <c r="R30" s="52"/>
      <c r="S30" s="44">
        <v>19</v>
      </c>
      <c r="T30" s="44"/>
      <c r="U30" s="52"/>
      <c r="V30" s="44"/>
      <c r="W30" s="52"/>
      <c r="X30" s="44"/>
      <c r="Y30" s="44"/>
      <c r="Z30" s="52"/>
      <c r="AA30" s="44"/>
      <c r="AB30" s="52"/>
      <c r="AC30" s="44"/>
      <c r="AD30" s="44"/>
      <c r="AE30" s="51"/>
    </row>
    <row r="31" spans="1:31" ht="47.25" thickBot="1">
      <c r="A31" s="44" t="s">
        <v>45</v>
      </c>
      <c r="B31" s="45" t="s">
        <v>114</v>
      </c>
      <c r="C31" s="51">
        <v>20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44"/>
      <c r="V31" s="51"/>
      <c r="W31" s="52"/>
      <c r="X31" s="44"/>
      <c r="Y31" s="51"/>
      <c r="Z31" s="51"/>
      <c r="AA31" s="51"/>
      <c r="AB31" s="51"/>
      <c r="AC31" s="51"/>
      <c r="AD31" s="51"/>
      <c r="AE31" s="51"/>
    </row>
    <row r="32" spans="1:31" ht="47.25" thickBot="1">
      <c r="A32" s="44">
        <v>2</v>
      </c>
      <c r="B32" s="45" t="s">
        <v>189</v>
      </c>
      <c r="C32" s="4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4"/>
      <c r="O32" s="46">
        <v>9</v>
      </c>
      <c r="P32" s="44"/>
      <c r="Q32" s="52"/>
      <c r="R32" s="44"/>
      <c r="S32" s="52">
        <v>70</v>
      </c>
      <c r="T32" s="44"/>
      <c r="U32" s="52"/>
      <c r="V32" s="44"/>
      <c r="W32" s="52"/>
      <c r="X32" s="44"/>
      <c r="Y32" s="52"/>
      <c r="Z32" s="44"/>
      <c r="AA32" s="52"/>
      <c r="AB32" s="44">
        <v>2</v>
      </c>
      <c r="AC32" s="44"/>
      <c r="AD32" s="44"/>
      <c r="AE32" s="46"/>
    </row>
    <row r="33" spans="1:31" ht="47.25" thickBot="1">
      <c r="A33" s="44">
        <v>21</v>
      </c>
      <c r="B33" s="73" t="s">
        <v>38</v>
      </c>
      <c r="C33" s="44"/>
      <c r="D33" s="51"/>
      <c r="E33" s="44"/>
      <c r="F33" s="44"/>
      <c r="G33" s="44"/>
      <c r="H33" s="51"/>
      <c r="I33" s="51"/>
      <c r="J33" s="51"/>
      <c r="K33" s="51"/>
      <c r="L33" s="51"/>
      <c r="M33" s="51"/>
      <c r="N33" s="52"/>
      <c r="O33" s="46"/>
      <c r="P33" s="52"/>
      <c r="Q33" s="46"/>
      <c r="R33" s="52"/>
      <c r="S33" s="46">
        <v>145</v>
      </c>
      <c r="T33" s="52"/>
      <c r="U33" s="46"/>
      <c r="V33" s="46"/>
      <c r="W33" s="52"/>
      <c r="X33" s="46"/>
      <c r="Y33" s="46"/>
      <c r="Z33" s="52"/>
      <c r="AA33" s="46"/>
      <c r="AB33" s="46"/>
      <c r="AC33" s="52"/>
      <c r="AD33" s="46"/>
      <c r="AE33" s="51"/>
    </row>
    <row r="34" spans="1:31" ht="47.25" thickBot="1">
      <c r="A34" s="44">
        <v>99</v>
      </c>
      <c r="B34" s="45" t="s">
        <v>209</v>
      </c>
      <c r="C34" s="46"/>
      <c r="D34" s="51"/>
      <c r="E34" s="51">
        <v>30</v>
      </c>
      <c r="F34" s="51"/>
      <c r="G34" s="51">
        <v>3</v>
      </c>
      <c r="H34" s="51"/>
      <c r="I34" s="51"/>
      <c r="J34" s="51">
        <v>3</v>
      </c>
      <c r="K34" s="51"/>
      <c r="L34" s="51"/>
      <c r="M34" s="51"/>
      <c r="N34" s="51"/>
      <c r="O34" s="51">
        <v>2</v>
      </c>
      <c r="P34" s="51">
        <v>4</v>
      </c>
      <c r="Q34" s="51">
        <v>0.6</v>
      </c>
      <c r="R34" s="51">
        <v>4</v>
      </c>
      <c r="S34" s="51">
        <v>7</v>
      </c>
      <c r="T34" s="51"/>
      <c r="U34" s="51"/>
      <c r="V34" s="51"/>
      <c r="W34" s="51"/>
      <c r="X34" s="51">
        <v>17</v>
      </c>
      <c r="Y34" s="51"/>
      <c r="Z34" s="51"/>
      <c r="AA34" s="51"/>
      <c r="AB34" s="51"/>
      <c r="AC34" s="51"/>
      <c r="AD34" s="51"/>
      <c r="AE34" s="92">
        <v>1</v>
      </c>
    </row>
    <row r="35" spans="1:31" ht="47.25" thickBot="1">
      <c r="A35" s="69"/>
      <c r="B35" s="45" t="s">
        <v>8</v>
      </c>
      <c r="C35" s="46">
        <f>SUM(C29:C34)</f>
        <v>20</v>
      </c>
      <c r="D35" s="46">
        <f aca="true" t="shared" si="6" ref="D35:AD35">SUM(D29:D34)</f>
        <v>0</v>
      </c>
      <c r="E35" s="46">
        <f t="shared" si="6"/>
        <v>30</v>
      </c>
      <c r="F35" s="46">
        <f t="shared" si="6"/>
        <v>0</v>
      </c>
      <c r="G35" s="46">
        <f t="shared" si="6"/>
        <v>3</v>
      </c>
      <c r="H35" s="46">
        <f t="shared" si="6"/>
        <v>0</v>
      </c>
      <c r="I35" s="46">
        <f t="shared" si="6"/>
        <v>102</v>
      </c>
      <c r="J35" s="46">
        <f t="shared" si="6"/>
        <v>48</v>
      </c>
      <c r="K35" s="46">
        <f t="shared" si="6"/>
        <v>0</v>
      </c>
      <c r="L35" s="46">
        <f t="shared" si="6"/>
        <v>0</v>
      </c>
      <c r="M35" s="46">
        <f t="shared" si="6"/>
        <v>0</v>
      </c>
      <c r="N35" s="46">
        <f t="shared" si="6"/>
        <v>0</v>
      </c>
      <c r="O35" s="46">
        <f t="shared" si="6"/>
        <v>11</v>
      </c>
      <c r="P35" s="46">
        <f t="shared" si="6"/>
        <v>8</v>
      </c>
      <c r="Q35" s="46">
        <f t="shared" si="6"/>
        <v>0.6</v>
      </c>
      <c r="R35" s="46">
        <f t="shared" si="6"/>
        <v>4</v>
      </c>
      <c r="S35" s="46">
        <f t="shared" si="6"/>
        <v>241</v>
      </c>
      <c r="T35" s="46">
        <f t="shared" si="6"/>
        <v>0</v>
      </c>
      <c r="U35" s="46">
        <f t="shared" si="6"/>
        <v>0</v>
      </c>
      <c r="V35" s="46">
        <f t="shared" si="6"/>
        <v>0</v>
      </c>
      <c r="W35" s="46">
        <f t="shared" si="6"/>
        <v>0</v>
      </c>
      <c r="X35" s="46">
        <f t="shared" si="6"/>
        <v>17</v>
      </c>
      <c r="Y35" s="46">
        <f t="shared" si="6"/>
        <v>0</v>
      </c>
      <c r="Z35" s="46">
        <f t="shared" si="6"/>
        <v>0</v>
      </c>
      <c r="AA35" s="46">
        <f t="shared" si="6"/>
        <v>0</v>
      </c>
      <c r="AB35" s="46">
        <f t="shared" si="6"/>
        <v>2</v>
      </c>
      <c r="AC35" s="46">
        <f t="shared" si="6"/>
        <v>0</v>
      </c>
      <c r="AD35" s="46">
        <f t="shared" si="6"/>
        <v>0</v>
      </c>
      <c r="AE35" s="46">
        <f>SUM(AE29:AE34)</f>
        <v>1</v>
      </c>
    </row>
    <row r="36" spans="1:31" ht="93.75" thickBot="1">
      <c r="A36" s="95"/>
      <c r="B36" s="45" t="s">
        <v>145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>
        <v>4</v>
      </c>
      <c r="AE36" s="46"/>
    </row>
    <row r="37" spans="1:31" ht="47.25" thickBot="1">
      <c r="A37" s="44"/>
      <c r="B37" s="74" t="s">
        <v>12</v>
      </c>
      <c r="C37" s="46">
        <f>SUM(C14+C27+C35+C18)</f>
        <v>65</v>
      </c>
      <c r="D37" s="46">
        <f aca="true" t="shared" si="7" ref="D37:AE37">SUM(D14+D27+D35+D18)</f>
        <v>40</v>
      </c>
      <c r="E37" s="46">
        <f t="shared" si="7"/>
        <v>38.9</v>
      </c>
      <c r="F37" s="46">
        <f t="shared" si="7"/>
        <v>0</v>
      </c>
      <c r="G37" s="46">
        <f t="shared" si="7"/>
        <v>51</v>
      </c>
      <c r="H37" s="46">
        <f t="shared" si="7"/>
        <v>0</v>
      </c>
      <c r="I37" s="46">
        <f t="shared" si="7"/>
        <v>137</v>
      </c>
      <c r="J37" s="46">
        <f t="shared" si="7"/>
        <v>123.7</v>
      </c>
      <c r="K37" s="46">
        <f t="shared" si="7"/>
        <v>90</v>
      </c>
      <c r="L37" s="46">
        <f t="shared" si="7"/>
        <v>100</v>
      </c>
      <c r="M37" s="46">
        <f t="shared" si="7"/>
        <v>20</v>
      </c>
      <c r="N37" s="46">
        <f t="shared" si="7"/>
        <v>10</v>
      </c>
      <c r="O37" s="46">
        <f t="shared" si="7"/>
        <v>31</v>
      </c>
      <c r="P37" s="46">
        <f t="shared" si="7"/>
        <v>19.6</v>
      </c>
      <c r="Q37" s="46">
        <f t="shared" si="7"/>
        <v>4.6</v>
      </c>
      <c r="R37" s="46">
        <f t="shared" si="7"/>
        <v>26</v>
      </c>
      <c r="S37" s="46">
        <f t="shared" si="7"/>
        <v>253</v>
      </c>
      <c r="T37" s="46">
        <f t="shared" si="7"/>
        <v>0</v>
      </c>
      <c r="U37" s="46">
        <f t="shared" si="7"/>
        <v>46</v>
      </c>
      <c r="V37" s="46">
        <f t="shared" si="7"/>
        <v>0</v>
      </c>
      <c r="W37" s="46">
        <f t="shared" si="7"/>
        <v>119</v>
      </c>
      <c r="X37" s="46">
        <f t="shared" si="7"/>
        <v>17</v>
      </c>
      <c r="Y37" s="46">
        <f t="shared" si="7"/>
        <v>2</v>
      </c>
      <c r="Z37" s="46">
        <f t="shared" si="7"/>
        <v>0</v>
      </c>
      <c r="AA37" s="46">
        <f t="shared" si="7"/>
        <v>0.5</v>
      </c>
      <c r="AB37" s="46">
        <f t="shared" si="7"/>
        <v>2</v>
      </c>
      <c r="AC37" s="46">
        <f t="shared" si="7"/>
        <v>0</v>
      </c>
      <c r="AD37" s="46">
        <v>4</v>
      </c>
      <c r="AE37" s="46">
        <f t="shared" si="7"/>
        <v>1</v>
      </c>
    </row>
    <row r="38" spans="1:31" ht="46.5" customHeight="1" thickBot="1">
      <c r="A38" s="156" t="s">
        <v>259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57"/>
    </row>
    <row r="39" spans="1:31" ht="47.25" thickBot="1">
      <c r="A39" s="165" t="s">
        <v>15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7"/>
    </row>
    <row r="40" spans="1:31" ht="45.75" customHeight="1">
      <c r="A40" s="168" t="s">
        <v>39</v>
      </c>
      <c r="B40" s="170" t="s">
        <v>26</v>
      </c>
      <c r="C40" s="154" t="s">
        <v>114</v>
      </c>
      <c r="D40" s="154" t="s">
        <v>115</v>
      </c>
      <c r="E40" s="154" t="s">
        <v>116</v>
      </c>
      <c r="F40" s="154" t="s">
        <v>117</v>
      </c>
      <c r="G40" s="154" t="s">
        <v>109</v>
      </c>
      <c r="H40" s="154" t="s">
        <v>118</v>
      </c>
      <c r="I40" s="154" t="s">
        <v>246</v>
      </c>
      <c r="J40" s="154" t="s">
        <v>247</v>
      </c>
      <c r="K40" s="90"/>
      <c r="L40" s="154" t="s">
        <v>217</v>
      </c>
      <c r="M40" s="154" t="s">
        <v>121</v>
      </c>
      <c r="N40" s="154" t="s">
        <v>81</v>
      </c>
      <c r="O40" s="154" t="s">
        <v>82</v>
      </c>
      <c r="P40" s="154" t="s">
        <v>122</v>
      </c>
      <c r="Q40" s="154" t="s">
        <v>83</v>
      </c>
      <c r="R40" s="154" t="s">
        <v>123</v>
      </c>
      <c r="S40" s="154" t="s">
        <v>126</v>
      </c>
      <c r="T40" s="154" t="s">
        <v>143</v>
      </c>
      <c r="U40" s="90"/>
      <c r="V40" s="154" t="s">
        <v>248</v>
      </c>
      <c r="W40" s="154" t="s">
        <v>249</v>
      </c>
      <c r="X40" s="154" t="s">
        <v>250</v>
      </c>
      <c r="Y40" s="154" t="s">
        <v>84</v>
      </c>
      <c r="Z40" s="154" t="s">
        <v>85</v>
      </c>
      <c r="AA40" s="154" t="s">
        <v>89</v>
      </c>
      <c r="AB40" s="90"/>
      <c r="AC40" s="154" t="s">
        <v>124</v>
      </c>
      <c r="AD40" s="154" t="s">
        <v>86</v>
      </c>
      <c r="AE40" s="154" t="s">
        <v>125</v>
      </c>
    </row>
    <row r="41" spans="1:31" ht="344.25" thickBot="1">
      <c r="A41" s="169"/>
      <c r="B41" s="171"/>
      <c r="C41" s="155"/>
      <c r="D41" s="155"/>
      <c r="E41" s="155"/>
      <c r="F41" s="155"/>
      <c r="G41" s="155"/>
      <c r="H41" s="155"/>
      <c r="I41" s="155"/>
      <c r="J41" s="155"/>
      <c r="K41" s="91" t="s">
        <v>119</v>
      </c>
      <c r="L41" s="155"/>
      <c r="M41" s="155"/>
      <c r="N41" s="155"/>
      <c r="O41" s="155"/>
      <c r="P41" s="155"/>
      <c r="Q41" s="155"/>
      <c r="R41" s="155"/>
      <c r="S41" s="155"/>
      <c r="T41" s="155"/>
      <c r="U41" s="91" t="s">
        <v>111</v>
      </c>
      <c r="V41" s="155"/>
      <c r="W41" s="155"/>
      <c r="X41" s="155"/>
      <c r="Y41" s="155"/>
      <c r="Z41" s="155"/>
      <c r="AA41" s="155"/>
      <c r="AB41" s="91" t="s">
        <v>110</v>
      </c>
      <c r="AC41" s="155"/>
      <c r="AD41" s="155"/>
      <c r="AE41" s="155"/>
    </row>
    <row r="42" spans="1:31" ht="47.25" thickBot="1">
      <c r="A42" s="95">
        <v>1</v>
      </c>
      <c r="B42" s="68">
        <v>2</v>
      </c>
      <c r="C42" s="69" t="s">
        <v>112</v>
      </c>
      <c r="D42" s="70">
        <v>4</v>
      </c>
      <c r="E42" s="69">
        <v>5</v>
      </c>
      <c r="F42" s="69">
        <v>6</v>
      </c>
      <c r="G42" s="69">
        <v>7</v>
      </c>
      <c r="H42" s="69">
        <v>8</v>
      </c>
      <c r="I42" s="69" t="s">
        <v>113</v>
      </c>
      <c r="J42" s="70">
        <v>10</v>
      </c>
      <c r="K42" s="69">
        <v>11</v>
      </c>
      <c r="L42" s="69">
        <v>12</v>
      </c>
      <c r="M42" s="69">
        <v>13</v>
      </c>
      <c r="N42" s="69">
        <v>14</v>
      </c>
      <c r="O42" s="69">
        <v>15</v>
      </c>
      <c r="P42" s="94">
        <v>16</v>
      </c>
      <c r="Q42" s="69">
        <v>17</v>
      </c>
      <c r="R42" s="94">
        <v>18</v>
      </c>
      <c r="S42" s="69">
        <v>19</v>
      </c>
      <c r="T42" s="94">
        <v>20</v>
      </c>
      <c r="U42" s="94">
        <v>21</v>
      </c>
      <c r="V42" s="69">
        <v>22</v>
      </c>
      <c r="W42" s="69">
        <v>23</v>
      </c>
      <c r="X42" s="94">
        <v>24</v>
      </c>
      <c r="Y42" s="69">
        <v>25</v>
      </c>
      <c r="Z42" s="69">
        <v>26</v>
      </c>
      <c r="AA42" s="69">
        <v>27</v>
      </c>
      <c r="AB42" s="94">
        <v>28</v>
      </c>
      <c r="AC42" s="69">
        <v>29</v>
      </c>
      <c r="AD42" s="69">
        <v>30</v>
      </c>
      <c r="AE42" s="92">
        <v>31</v>
      </c>
    </row>
    <row r="43" spans="1:31" ht="47.25" thickBot="1">
      <c r="A43" s="165" t="s">
        <v>7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7"/>
    </row>
    <row r="44" spans="1:31" ht="93.75" thickBot="1">
      <c r="A44" s="44">
        <v>84</v>
      </c>
      <c r="B44" s="71" t="s">
        <v>129</v>
      </c>
      <c r="C44" s="46"/>
      <c r="D44" s="57"/>
      <c r="E44" s="57"/>
      <c r="F44" s="57"/>
      <c r="G44" s="57">
        <v>15</v>
      </c>
      <c r="H44" s="51"/>
      <c r="I44" s="51"/>
      <c r="J44" s="51"/>
      <c r="K44" s="51"/>
      <c r="L44" s="51"/>
      <c r="M44" s="51"/>
      <c r="N44" s="52"/>
      <c r="O44" s="46">
        <v>4</v>
      </c>
      <c r="P44" s="52">
        <v>2</v>
      </c>
      <c r="Q44" s="46"/>
      <c r="R44" s="52"/>
      <c r="S44" s="46">
        <v>113</v>
      </c>
      <c r="T44" s="52"/>
      <c r="U44" s="46"/>
      <c r="V44" s="46"/>
      <c r="W44" s="46"/>
      <c r="X44" s="52"/>
      <c r="Y44" s="46"/>
      <c r="Z44" s="46"/>
      <c r="AA44" s="46"/>
      <c r="AB44" s="52"/>
      <c r="AC44" s="46"/>
      <c r="AD44" s="52"/>
      <c r="AE44" s="46"/>
    </row>
    <row r="45" spans="1:31" ht="47.25" thickBot="1">
      <c r="A45" s="44">
        <v>15</v>
      </c>
      <c r="B45" s="45" t="s">
        <v>18</v>
      </c>
      <c r="C45" s="46"/>
      <c r="D45" s="57"/>
      <c r="E45" s="57"/>
      <c r="F45" s="57"/>
      <c r="G45" s="57"/>
      <c r="H45" s="51"/>
      <c r="I45" s="51"/>
      <c r="J45" s="51"/>
      <c r="K45" s="51"/>
      <c r="L45" s="51"/>
      <c r="M45" s="51"/>
      <c r="N45" s="52"/>
      <c r="O45" s="46">
        <v>9</v>
      </c>
      <c r="P45" s="52"/>
      <c r="Q45" s="46"/>
      <c r="R45" s="52"/>
      <c r="S45" s="52">
        <v>70</v>
      </c>
      <c r="T45" s="52"/>
      <c r="U45" s="44"/>
      <c r="V45" s="46"/>
      <c r="W45" s="44"/>
      <c r="X45" s="52"/>
      <c r="Y45" s="46"/>
      <c r="Z45" s="46"/>
      <c r="AA45" s="52"/>
      <c r="AB45" s="44"/>
      <c r="AC45" s="46">
        <v>1</v>
      </c>
      <c r="AD45" s="52"/>
      <c r="AE45" s="46"/>
    </row>
    <row r="46" spans="1:31" ht="47.25" thickBot="1">
      <c r="A46" s="44">
        <v>16</v>
      </c>
      <c r="B46" s="45" t="s">
        <v>54</v>
      </c>
      <c r="C46" s="51">
        <v>20</v>
      </c>
      <c r="D46" s="57"/>
      <c r="E46" s="57"/>
      <c r="F46" s="57"/>
      <c r="G46" s="57"/>
      <c r="H46" s="51"/>
      <c r="I46" s="51"/>
      <c r="J46" s="51"/>
      <c r="K46" s="51"/>
      <c r="L46" s="51"/>
      <c r="M46" s="51"/>
      <c r="N46" s="52"/>
      <c r="O46" s="46"/>
      <c r="P46" s="46">
        <v>4</v>
      </c>
      <c r="Q46" s="46"/>
      <c r="R46" s="52"/>
      <c r="S46" s="46"/>
      <c r="T46" s="52"/>
      <c r="U46" s="44"/>
      <c r="V46" s="46"/>
      <c r="W46" s="44"/>
      <c r="X46" s="52"/>
      <c r="Y46" s="46"/>
      <c r="Z46" s="46"/>
      <c r="AA46" s="52"/>
      <c r="AB46" s="44"/>
      <c r="AC46" s="46"/>
      <c r="AD46" s="52"/>
      <c r="AE46" s="46"/>
    </row>
    <row r="47" spans="1:31" ht="47.25" thickBot="1">
      <c r="A47" s="44"/>
      <c r="B47" s="45" t="s">
        <v>8</v>
      </c>
      <c r="C47" s="46">
        <f aca="true" t="shared" si="8" ref="C47:S47">SUM(C44:C46)</f>
        <v>20</v>
      </c>
      <c r="D47" s="46">
        <f t="shared" si="8"/>
        <v>0</v>
      </c>
      <c r="E47" s="46">
        <f t="shared" si="8"/>
        <v>0</v>
      </c>
      <c r="F47" s="46">
        <f t="shared" si="8"/>
        <v>0</v>
      </c>
      <c r="G47" s="46">
        <f t="shared" si="8"/>
        <v>15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46">
        <f t="shared" si="8"/>
        <v>0</v>
      </c>
      <c r="M47" s="46">
        <f t="shared" si="8"/>
        <v>0</v>
      </c>
      <c r="N47" s="46">
        <f t="shared" si="8"/>
        <v>0</v>
      </c>
      <c r="O47" s="46">
        <f t="shared" si="8"/>
        <v>13</v>
      </c>
      <c r="P47" s="46">
        <f t="shared" si="8"/>
        <v>6</v>
      </c>
      <c r="Q47" s="46">
        <f t="shared" si="8"/>
        <v>0</v>
      </c>
      <c r="R47" s="46">
        <f t="shared" si="8"/>
        <v>0</v>
      </c>
      <c r="S47" s="46">
        <f t="shared" si="8"/>
        <v>183</v>
      </c>
      <c r="T47" s="67">
        <f aca="true" t="shared" si="9" ref="T47:AE47">SUM(T44+T45+T46)</f>
        <v>0</v>
      </c>
      <c r="U47" s="46">
        <f t="shared" si="9"/>
        <v>0</v>
      </c>
      <c r="V47" s="46">
        <f t="shared" si="9"/>
        <v>0</v>
      </c>
      <c r="W47" s="46">
        <f t="shared" si="9"/>
        <v>0</v>
      </c>
      <c r="X47" s="46">
        <f t="shared" si="9"/>
        <v>0</v>
      </c>
      <c r="Y47" s="46">
        <f t="shared" si="9"/>
        <v>0</v>
      </c>
      <c r="Z47" s="46">
        <f t="shared" si="9"/>
        <v>0</v>
      </c>
      <c r="AA47" s="46">
        <f t="shared" si="9"/>
        <v>0</v>
      </c>
      <c r="AB47" s="46">
        <f t="shared" si="9"/>
        <v>0</v>
      </c>
      <c r="AC47" s="46">
        <f t="shared" si="9"/>
        <v>1</v>
      </c>
      <c r="AD47" s="46">
        <f t="shared" si="9"/>
        <v>0</v>
      </c>
      <c r="AE47" s="46">
        <f t="shared" si="9"/>
        <v>0</v>
      </c>
    </row>
    <row r="48" spans="1:31" ht="47.25" thickBot="1">
      <c r="A48" s="156" t="s">
        <v>107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57"/>
    </row>
    <row r="49" spans="1:31" ht="47.25" thickBot="1">
      <c r="A49" s="44" t="s">
        <v>45</v>
      </c>
      <c r="B49" s="48" t="s">
        <v>108</v>
      </c>
      <c r="C49" s="46"/>
      <c r="D49" s="51"/>
      <c r="E49" s="51"/>
      <c r="F49" s="51"/>
      <c r="G49" s="51"/>
      <c r="H49" s="51"/>
      <c r="I49" s="51"/>
      <c r="J49" s="51"/>
      <c r="K49" s="51">
        <v>90</v>
      </c>
      <c r="L49" s="51"/>
      <c r="M49" s="51"/>
      <c r="N49" s="52"/>
      <c r="O49" s="46"/>
      <c r="P49" s="52"/>
      <c r="Q49" s="46"/>
      <c r="R49" s="52"/>
      <c r="S49" s="46"/>
      <c r="T49" s="52"/>
      <c r="U49" s="46"/>
      <c r="V49" s="46"/>
      <c r="W49" s="52"/>
      <c r="X49" s="46"/>
      <c r="Y49" s="46"/>
      <c r="Z49" s="52"/>
      <c r="AA49" s="46"/>
      <c r="AB49" s="52"/>
      <c r="AC49" s="46"/>
      <c r="AD49" s="46"/>
      <c r="AE49" s="51"/>
    </row>
    <row r="50" spans="1:31" ht="47.25" thickBot="1">
      <c r="A50" s="44" t="s">
        <v>45</v>
      </c>
      <c r="B50" s="45" t="s">
        <v>78</v>
      </c>
      <c r="C50" s="46"/>
      <c r="D50" s="57"/>
      <c r="E50" s="57"/>
      <c r="F50" s="57"/>
      <c r="G50" s="57"/>
      <c r="H50" s="51"/>
      <c r="I50" s="51"/>
      <c r="J50" s="51"/>
      <c r="K50" s="51"/>
      <c r="L50" s="51">
        <v>100</v>
      </c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46"/>
      <c r="AB50" s="51"/>
      <c r="AC50" s="51"/>
      <c r="AD50" s="51"/>
      <c r="AE50" s="51"/>
    </row>
    <row r="51" spans="1:31" ht="47.25" thickBot="1">
      <c r="A51" s="44"/>
      <c r="B51" s="45" t="s">
        <v>37</v>
      </c>
      <c r="C51" s="46">
        <f>SUM(C49:C50)</f>
        <v>0</v>
      </c>
      <c r="D51" s="46">
        <f aca="true" t="shared" si="10" ref="D51:M51">SUM(D49:D50)</f>
        <v>0</v>
      </c>
      <c r="E51" s="46">
        <f t="shared" si="10"/>
        <v>0</v>
      </c>
      <c r="F51" s="46">
        <f t="shared" si="10"/>
        <v>0</v>
      </c>
      <c r="G51" s="46">
        <f t="shared" si="10"/>
        <v>0</v>
      </c>
      <c r="H51" s="46">
        <f t="shared" si="10"/>
        <v>0</v>
      </c>
      <c r="I51" s="46">
        <f t="shared" si="10"/>
        <v>0</v>
      </c>
      <c r="J51" s="46">
        <f t="shared" si="10"/>
        <v>0</v>
      </c>
      <c r="K51" s="46">
        <f t="shared" si="10"/>
        <v>90</v>
      </c>
      <c r="L51" s="46">
        <f t="shared" si="10"/>
        <v>100</v>
      </c>
      <c r="M51" s="46">
        <f t="shared" si="10"/>
        <v>0</v>
      </c>
      <c r="N51" s="51">
        <f aca="true" t="shared" si="11" ref="N51:AE51">SUM(N49)</f>
        <v>0</v>
      </c>
      <c r="O51" s="51">
        <f t="shared" si="11"/>
        <v>0</v>
      </c>
      <c r="P51" s="51">
        <f t="shared" si="11"/>
        <v>0</v>
      </c>
      <c r="Q51" s="51">
        <f t="shared" si="11"/>
        <v>0</v>
      </c>
      <c r="R51" s="51">
        <f t="shared" si="11"/>
        <v>0</v>
      </c>
      <c r="S51" s="51">
        <f t="shared" si="11"/>
        <v>0</v>
      </c>
      <c r="T51" s="51">
        <f t="shared" si="11"/>
        <v>0</v>
      </c>
      <c r="U51" s="51">
        <f t="shared" si="11"/>
        <v>0</v>
      </c>
      <c r="V51" s="51">
        <f t="shared" si="11"/>
        <v>0</v>
      </c>
      <c r="W51" s="51">
        <f t="shared" si="11"/>
        <v>0</v>
      </c>
      <c r="X51" s="51">
        <f t="shared" si="11"/>
        <v>0</v>
      </c>
      <c r="Y51" s="51">
        <f t="shared" si="11"/>
        <v>0</v>
      </c>
      <c r="Z51" s="51">
        <f t="shared" si="11"/>
        <v>0</v>
      </c>
      <c r="AA51" s="51">
        <f t="shared" si="11"/>
        <v>0</v>
      </c>
      <c r="AB51" s="51">
        <f t="shared" si="11"/>
        <v>0</v>
      </c>
      <c r="AC51" s="51">
        <f t="shared" si="11"/>
        <v>0</v>
      </c>
      <c r="AD51" s="51">
        <f t="shared" si="11"/>
        <v>0</v>
      </c>
      <c r="AE51" s="51">
        <f t="shared" si="11"/>
        <v>0</v>
      </c>
    </row>
    <row r="52" spans="1:31" ht="47.25" thickBot="1">
      <c r="A52" s="156" t="s">
        <v>40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57"/>
    </row>
    <row r="53" spans="1:31" ht="47.25" thickBot="1">
      <c r="A53" s="44">
        <v>95</v>
      </c>
      <c r="B53" s="45" t="s">
        <v>210</v>
      </c>
      <c r="C53" s="46"/>
      <c r="D53" s="51"/>
      <c r="E53" s="51"/>
      <c r="F53" s="51"/>
      <c r="G53" s="51"/>
      <c r="H53" s="51"/>
      <c r="I53" s="51"/>
      <c r="J53" s="51">
        <v>29</v>
      </c>
      <c r="K53" s="51"/>
      <c r="L53" s="51">
        <v>19</v>
      </c>
      <c r="M53" s="51"/>
      <c r="N53" s="44"/>
      <c r="O53" s="52"/>
      <c r="P53" s="44"/>
      <c r="Q53" s="52">
        <v>3</v>
      </c>
      <c r="R53" s="44"/>
      <c r="S53" s="52"/>
      <c r="T53" s="44"/>
      <c r="U53" s="52"/>
      <c r="V53" s="46"/>
      <c r="W53" s="52"/>
      <c r="X53" s="44"/>
      <c r="Y53" s="52"/>
      <c r="Z53" s="44"/>
      <c r="AA53" s="46"/>
      <c r="AB53" s="52"/>
      <c r="AC53" s="44"/>
      <c r="AD53" s="44"/>
      <c r="AE53" s="51"/>
    </row>
    <row r="54" spans="1:31" ht="47.25" thickBot="1">
      <c r="A54" s="44">
        <v>46</v>
      </c>
      <c r="B54" s="45" t="s">
        <v>203</v>
      </c>
      <c r="C54" s="46"/>
      <c r="D54" s="51"/>
      <c r="E54" s="51"/>
      <c r="F54" s="51"/>
      <c r="G54" s="51">
        <v>5</v>
      </c>
      <c r="H54" s="51"/>
      <c r="I54" s="51">
        <v>60</v>
      </c>
      <c r="J54" s="51">
        <v>24.8</v>
      </c>
      <c r="K54" s="51"/>
      <c r="L54" s="51"/>
      <c r="M54" s="51"/>
      <c r="N54" s="52"/>
      <c r="O54" s="44"/>
      <c r="P54" s="52">
        <v>3</v>
      </c>
      <c r="Q54" s="44"/>
      <c r="R54" s="52"/>
      <c r="S54" s="44"/>
      <c r="T54" s="52"/>
      <c r="U54" s="44"/>
      <c r="V54" s="44"/>
      <c r="W54" s="52">
        <v>25</v>
      </c>
      <c r="X54" s="44"/>
      <c r="Y54" s="46"/>
      <c r="Z54" s="52"/>
      <c r="AA54" s="44"/>
      <c r="AB54" s="44"/>
      <c r="AC54" s="52"/>
      <c r="AD54" s="44"/>
      <c r="AE54" s="51"/>
    </row>
    <row r="55" spans="1:31" ht="93.75" thickBot="1">
      <c r="A55" s="44">
        <v>6</v>
      </c>
      <c r="B55" s="45" t="s">
        <v>69</v>
      </c>
      <c r="C55" s="51">
        <v>9</v>
      </c>
      <c r="D55" s="51"/>
      <c r="E55" s="51"/>
      <c r="F55" s="51"/>
      <c r="G55" s="51"/>
      <c r="H55" s="51"/>
      <c r="I55" s="51"/>
      <c r="J55" s="51">
        <v>4</v>
      </c>
      <c r="K55" s="51"/>
      <c r="L55" s="51"/>
      <c r="M55" s="51"/>
      <c r="N55" s="52"/>
      <c r="O55" s="44"/>
      <c r="P55" s="52"/>
      <c r="Q55" s="44">
        <v>3</v>
      </c>
      <c r="R55" s="52">
        <v>3</v>
      </c>
      <c r="S55" s="44">
        <v>10</v>
      </c>
      <c r="T55" s="44"/>
      <c r="U55" s="52"/>
      <c r="V55" s="44">
        <v>34</v>
      </c>
      <c r="W55" s="52"/>
      <c r="X55" s="44"/>
      <c r="Y55" s="44"/>
      <c r="Z55" s="52"/>
      <c r="AA55" s="44"/>
      <c r="AB55" s="52"/>
      <c r="AC55" s="44"/>
      <c r="AD55" s="44"/>
      <c r="AE55" s="51"/>
    </row>
    <row r="56" spans="1:31" ht="47.25" thickBot="1">
      <c r="A56" s="44">
        <v>27</v>
      </c>
      <c r="B56" s="45" t="s">
        <v>46</v>
      </c>
      <c r="C56" s="46"/>
      <c r="D56" s="51"/>
      <c r="E56" s="51">
        <v>1.6</v>
      </c>
      <c r="F56" s="51"/>
      <c r="G56" s="51"/>
      <c r="H56" s="51"/>
      <c r="I56" s="51"/>
      <c r="J56" s="51">
        <v>149</v>
      </c>
      <c r="K56" s="51"/>
      <c r="L56" s="51"/>
      <c r="M56" s="51"/>
      <c r="N56" s="44"/>
      <c r="O56" s="52">
        <v>1.6</v>
      </c>
      <c r="P56" s="44">
        <v>6</v>
      </c>
      <c r="Q56" s="52"/>
      <c r="R56" s="44"/>
      <c r="S56" s="52"/>
      <c r="T56" s="66"/>
      <c r="U56" s="44"/>
      <c r="V56" s="44"/>
      <c r="W56" s="52"/>
      <c r="X56" s="44"/>
      <c r="Y56" s="52"/>
      <c r="Z56" s="44"/>
      <c r="AA56" s="44"/>
      <c r="AB56" s="52"/>
      <c r="AC56" s="44"/>
      <c r="AD56" s="44"/>
      <c r="AE56" s="51"/>
    </row>
    <row r="57" spans="1:31" ht="47.25" thickBot="1">
      <c r="A57" s="44">
        <v>20</v>
      </c>
      <c r="B57" s="45" t="s">
        <v>43</v>
      </c>
      <c r="C57" s="46"/>
      <c r="D57" s="57"/>
      <c r="E57" s="57"/>
      <c r="F57" s="57">
        <v>5.6</v>
      </c>
      <c r="G57" s="57"/>
      <c r="H57" s="51"/>
      <c r="I57" s="51"/>
      <c r="J57" s="51"/>
      <c r="K57" s="51"/>
      <c r="L57" s="51">
        <v>1.3</v>
      </c>
      <c r="M57" s="51"/>
      <c r="N57" s="52"/>
      <c r="O57" s="46">
        <v>11</v>
      </c>
      <c r="P57" s="52"/>
      <c r="Q57" s="46"/>
      <c r="R57" s="52"/>
      <c r="S57" s="46"/>
      <c r="T57" s="52"/>
      <c r="U57" s="44"/>
      <c r="V57" s="46"/>
      <c r="W57" s="52"/>
      <c r="X57" s="44"/>
      <c r="Y57" s="46"/>
      <c r="Z57" s="46"/>
      <c r="AA57" s="52"/>
      <c r="AB57" s="44"/>
      <c r="AC57" s="46"/>
      <c r="AD57" s="52"/>
      <c r="AE57" s="46"/>
    </row>
    <row r="58" spans="1:31" ht="47.25" thickBot="1">
      <c r="A58" s="44" t="s">
        <v>45</v>
      </c>
      <c r="B58" s="45" t="s">
        <v>114</v>
      </c>
      <c r="C58" s="51">
        <v>25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44"/>
      <c r="O58" s="52"/>
      <c r="P58" s="44"/>
      <c r="Q58" s="52"/>
      <c r="R58" s="44"/>
      <c r="S58" s="52"/>
      <c r="T58" s="44"/>
      <c r="U58" s="52"/>
      <c r="V58" s="44"/>
      <c r="W58" s="46"/>
      <c r="X58" s="44"/>
      <c r="Y58" s="52"/>
      <c r="Z58" s="44"/>
      <c r="AA58" s="44"/>
      <c r="AB58" s="52"/>
      <c r="AC58" s="44"/>
      <c r="AD58" s="44"/>
      <c r="AE58" s="51"/>
    </row>
    <row r="59" spans="1:31" ht="47.25" thickBot="1">
      <c r="A59" s="44" t="s">
        <v>45</v>
      </c>
      <c r="B59" s="45" t="s">
        <v>144</v>
      </c>
      <c r="C59" s="46"/>
      <c r="D59" s="51">
        <v>40</v>
      </c>
      <c r="E59" s="51"/>
      <c r="F59" s="51"/>
      <c r="G59" s="51"/>
      <c r="H59" s="51"/>
      <c r="I59" s="51"/>
      <c r="J59" s="51"/>
      <c r="K59" s="51"/>
      <c r="L59" s="51"/>
      <c r="M59" s="51"/>
      <c r="N59" s="44"/>
      <c r="O59" s="52"/>
      <c r="P59" s="44"/>
      <c r="Q59" s="52"/>
      <c r="R59" s="44"/>
      <c r="S59" s="52"/>
      <c r="T59" s="44"/>
      <c r="U59" s="52"/>
      <c r="V59" s="44"/>
      <c r="W59" s="44"/>
      <c r="X59" s="44"/>
      <c r="Y59" s="52"/>
      <c r="Z59" s="44"/>
      <c r="AA59" s="44"/>
      <c r="AB59" s="52"/>
      <c r="AC59" s="44"/>
      <c r="AD59" s="44"/>
      <c r="AE59" s="51"/>
    </row>
    <row r="60" spans="1:31" ht="47.25" thickBot="1">
      <c r="A60" s="46"/>
      <c r="B60" s="48" t="s">
        <v>8</v>
      </c>
      <c r="C60" s="46">
        <f>SUM(C53:C59)</f>
        <v>34</v>
      </c>
      <c r="D60" s="46">
        <f aca="true" t="shared" si="12" ref="D60:AE60">SUM(D53:D59)</f>
        <v>40</v>
      </c>
      <c r="E60" s="46">
        <f t="shared" si="12"/>
        <v>1.6</v>
      </c>
      <c r="F60" s="46">
        <f t="shared" si="12"/>
        <v>5.6</v>
      </c>
      <c r="G60" s="46">
        <f t="shared" si="12"/>
        <v>5</v>
      </c>
      <c r="H60" s="46">
        <f t="shared" si="12"/>
        <v>0</v>
      </c>
      <c r="I60" s="46">
        <f t="shared" si="12"/>
        <v>60</v>
      </c>
      <c r="J60" s="46">
        <f t="shared" si="12"/>
        <v>206.8</v>
      </c>
      <c r="K60" s="46">
        <f t="shared" si="12"/>
        <v>0</v>
      </c>
      <c r="L60" s="46">
        <f t="shared" si="12"/>
        <v>20.3</v>
      </c>
      <c r="M60" s="46">
        <f t="shared" si="12"/>
        <v>0</v>
      </c>
      <c r="N60" s="46">
        <f t="shared" si="12"/>
        <v>0</v>
      </c>
      <c r="O60" s="46">
        <f t="shared" si="12"/>
        <v>12.6</v>
      </c>
      <c r="P60" s="46">
        <f t="shared" si="12"/>
        <v>9</v>
      </c>
      <c r="Q60" s="46">
        <f t="shared" si="12"/>
        <v>6</v>
      </c>
      <c r="R60" s="46">
        <f t="shared" si="12"/>
        <v>3</v>
      </c>
      <c r="S60" s="46">
        <f t="shared" si="12"/>
        <v>10</v>
      </c>
      <c r="T60" s="46">
        <f t="shared" si="12"/>
        <v>0</v>
      </c>
      <c r="U60" s="46">
        <f t="shared" si="12"/>
        <v>0</v>
      </c>
      <c r="V60" s="46">
        <f t="shared" si="12"/>
        <v>34</v>
      </c>
      <c r="W60" s="46">
        <f t="shared" si="12"/>
        <v>25</v>
      </c>
      <c r="X60" s="46">
        <f t="shared" si="12"/>
        <v>0</v>
      </c>
      <c r="Y60" s="46">
        <f t="shared" si="12"/>
        <v>0</v>
      </c>
      <c r="Z60" s="46">
        <f t="shared" si="12"/>
        <v>0</v>
      </c>
      <c r="AA60" s="46">
        <f t="shared" si="12"/>
        <v>0</v>
      </c>
      <c r="AB60" s="46">
        <f t="shared" si="12"/>
        <v>0</v>
      </c>
      <c r="AC60" s="46">
        <f t="shared" si="12"/>
        <v>0</v>
      </c>
      <c r="AD60" s="46">
        <f t="shared" si="12"/>
        <v>0</v>
      </c>
      <c r="AE60" s="46">
        <f t="shared" si="12"/>
        <v>0</v>
      </c>
    </row>
    <row r="61" spans="1:31" ht="46.5" customHeight="1" thickBot="1">
      <c r="A61" s="156" t="s">
        <v>207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57"/>
    </row>
    <row r="62" spans="1:31" ht="93.75" thickBot="1">
      <c r="A62" s="44">
        <v>49</v>
      </c>
      <c r="B62" s="45" t="s">
        <v>77</v>
      </c>
      <c r="C62" s="46"/>
      <c r="D62" s="51"/>
      <c r="E62" s="51"/>
      <c r="F62" s="51"/>
      <c r="G62" s="51">
        <v>8</v>
      </c>
      <c r="H62" s="51"/>
      <c r="I62" s="57"/>
      <c r="J62" s="57"/>
      <c r="K62" s="57"/>
      <c r="L62" s="57"/>
      <c r="M62" s="57">
        <v>10</v>
      </c>
      <c r="N62" s="57"/>
      <c r="O62" s="57">
        <v>10</v>
      </c>
      <c r="P62" s="57">
        <v>2.5</v>
      </c>
      <c r="Q62" s="57"/>
      <c r="R62" s="57">
        <v>8</v>
      </c>
      <c r="S62" s="57">
        <v>15</v>
      </c>
      <c r="T62" s="57">
        <v>76</v>
      </c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ht="47.25" thickBot="1">
      <c r="A63" s="49">
        <v>76</v>
      </c>
      <c r="B63" s="50" t="s">
        <v>61</v>
      </c>
      <c r="C63" s="46"/>
      <c r="D63" s="57"/>
      <c r="E63" s="57"/>
      <c r="F63" s="57"/>
      <c r="G63" s="57"/>
      <c r="H63" s="51"/>
      <c r="I63" s="51"/>
      <c r="J63" s="51"/>
      <c r="K63" s="51"/>
      <c r="L63" s="51"/>
      <c r="M63" s="51"/>
      <c r="N63" s="51"/>
      <c r="O63" s="46">
        <v>9</v>
      </c>
      <c r="P63" s="51"/>
      <c r="Q63" s="51"/>
      <c r="R63" s="51"/>
      <c r="S63" s="51">
        <v>42</v>
      </c>
      <c r="T63" s="51"/>
      <c r="U63" s="51"/>
      <c r="V63" s="51"/>
      <c r="W63" s="51"/>
      <c r="X63" s="51"/>
      <c r="Y63" s="51"/>
      <c r="Z63" s="51"/>
      <c r="AA63" s="46">
        <v>0.5</v>
      </c>
      <c r="AB63" s="51"/>
      <c r="AC63" s="51"/>
      <c r="AD63" s="51"/>
      <c r="AE63" s="51"/>
    </row>
    <row r="64" spans="1:31" ht="47.25" thickBot="1">
      <c r="A64" s="44">
        <v>21</v>
      </c>
      <c r="B64" s="73" t="s">
        <v>38</v>
      </c>
      <c r="C64" s="44"/>
      <c r="D64" s="51"/>
      <c r="E64" s="44"/>
      <c r="F64" s="44"/>
      <c r="G64" s="44"/>
      <c r="H64" s="51"/>
      <c r="I64" s="51"/>
      <c r="J64" s="51"/>
      <c r="K64" s="51"/>
      <c r="L64" s="51"/>
      <c r="M64" s="51"/>
      <c r="N64" s="52"/>
      <c r="O64" s="46"/>
      <c r="P64" s="52"/>
      <c r="Q64" s="46"/>
      <c r="R64" s="52"/>
      <c r="S64" s="46">
        <v>145</v>
      </c>
      <c r="T64" s="52"/>
      <c r="U64" s="46"/>
      <c r="V64" s="46"/>
      <c r="W64" s="52"/>
      <c r="X64" s="46"/>
      <c r="Y64" s="46"/>
      <c r="Z64" s="52"/>
      <c r="AA64" s="46"/>
      <c r="AB64" s="46"/>
      <c r="AC64" s="52"/>
      <c r="AD64" s="46"/>
      <c r="AE64" s="51"/>
    </row>
    <row r="65" spans="1:31" ht="233.25" thickBot="1">
      <c r="A65" s="44" t="s">
        <v>45</v>
      </c>
      <c r="B65" s="45" t="s">
        <v>134</v>
      </c>
      <c r="C65" s="46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>
        <v>12</v>
      </c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47.25" thickBot="1">
      <c r="A66" s="69"/>
      <c r="B66" s="45" t="s">
        <v>8</v>
      </c>
      <c r="C66" s="46">
        <f>SUM(C62:C65)</f>
        <v>0</v>
      </c>
      <c r="D66" s="46">
        <f aca="true" t="shared" si="13" ref="D66:AE66">SUM(D62:D65)</f>
        <v>0</v>
      </c>
      <c r="E66" s="46">
        <f t="shared" si="13"/>
        <v>0</v>
      </c>
      <c r="F66" s="46">
        <f t="shared" si="13"/>
        <v>0</v>
      </c>
      <c r="G66" s="46">
        <f t="shared" si="13"/>
        <v>8</v>
      </c>
      <c r="H66" s="46">
        <f t="shared" si="13"/>
        <v>0</v>
      </c>
      <c r="I66" s="46">
        <f t="shared" si="13"/>
        <v>0</v>
      </c>
      <c r="J66" s="46">
        <f t="shared" si="13"/>
        <v>0</v>
      </c>
      <c r="K66" s="46">
        <f t="shared" si="13"/>
        <v>0</v>
      </c>
      <c r="L66" s="46">
        <f t="shared" si="13"/>
        <v>0</v>
      </c>
      <c r="M66" s="46">
        <f t="shared" si="13"/>
        <v>10</v>
      </c>
      <c r="N66" s="46">
        <f t="shared" si="13"/>
        <v>12</v>
      </c>
      <c r="O66" s="46">
        <f t="shared" si="13"/>
        <v>19</v>
      </c>
      <c r="P66" s="46">
        <f t="shared" si="13"/>
        <v>2.5</v>
      </c>
      <c r="Q66" s="46">
        <f t="shared" si="13"/>
        <v>0</v>
      </c>
      <c r="R66" s="46">
        <f t="shared" si="13"/>
        <v>8</v>
      </c>
      <c r="S66" s="46">
        <f t="shared" si="13"/>
        <v>202</v>
      </c>
      <c r="T66" s="46">
        <f t="shared" si="13"/>
        <v>76</v>
      </c>
      <c r="U66" s="46">
        <f t="shared" si="13"/>
        <v>0</v>
      </c>
      <c r="V66" s="46">
        <f t="shared" si="13"/>
        <v>0</v>
      </c>
      <c r="W66" s="46">
        <f t="shared" si="13"/>
        <v>0</v>
      </c>
      <c r="X66" s="46">
        <f t="shared" si="13"/>
        <v>0</v>
      </c>
      <c r="Y66" s="46">
        <f t="shared" si="13"/>
        <v>0</v>
      </c>
      <c r="Z66" s="46">
        <f t="shared" si="13"/>
        <v>0</v>
      </c>
      <c r="AA66" s="46">
        <f t="shared" si="13"/>
        <v>0.5</v>
      </c>
      <c r="AB66" s="46">
        <f t="shared" si="13"/>
        <v>0</v>
      </c>
      <c r="AC66" s="46">
        <f t="shared" si="13"/>
        <v>0</v>
      </c>
      <c r="AD66" s="46">
        <f t="shared" si="13"/>
        <v>0</v>
      </c>
      <c r="AE66" s="46">
        <f t="shared" si="13"/>
        <v>0</v>
      </c>
    </row>
    <row r="67" spans="1:31" ht="93.75" thickBot="1">
      <c r="A67" s="95"/>
      <c r="B67" s="45" t="s">
        <v>145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>
        <v>4</v>
      </c>
      <c r="AE67" s="46"/>
    </row>
    <row r="68" spans="1:31" ht="47.25" thickBot="1">
      <c r="A68" s="44"/>
      <c r="B68" s="74" t="s">
        <v>12</v>
      </c>
      <c r="C68" s="46">
        <f aca="true" t="shared" si="14" ref="C68:AC68">SUM(C47+C51+C60+C66)</f>
        <v>54</v>
      </c>
      <c r="D68" s="46">
        <f t="shared" si="14"/>
        <v>40</v>
      </c>
      <c r="E68" s="46">
        <f t="shared" si="14"/>
        <v>1.6</v>
      </c>
      <c r="F68" s="46">
        <f t="shared" si="14"/>
        <v>5.6</v>
      </c>
      <c r="G68" s="46">
        <f t="shared" si="14"/>
        <v>28</v>
      </c>
      <c r="H68" s="46">
        <f t="shared" si="14"/>
        <v>0</v>
      </c>
      <c r="I68" s="46">
        <f t="shared" si="14"/>
        <v>60</v>
      </c>
      <c r="J68" s="46">
        <f t="shared" si="14"/>
        <v>206.8</v>
      </c>
      <c r="K68" s="46">
        <f t="shared" si="14"/>
        <v>90</v>
      </c>
      <c r="L68" s="46">
        <f t="shared" si="14"/>
        <v>120.3</v>
      </c>
      <c r="M68" s="46">
        <f t="shared" si="14"/>
        <v>10</v>
      </c>
      <c r="N68" s="46">
        <f t="shared" si="14"/>
        <v>12</v>
      </c>
      <c r="O68" s="46">
        <f t="shared" si="14"/>
        <v>44.6</v>
      </c>
      <c r="P68" s="46">
        <f t="shared" si="14"/>
        <v>17.5</v>
      </c>
      <c r="Q68" s="46">
        <f t="shared" si="14"/>
        <v>6</v>
      </c>
      <c r="R68" s="46">
        <f t="shared" si="14"/>
        <v>11</v>
      </c>
      <c r="S68" s="46">
        <f t="shared" si="14"/>
        <v>395</v>
      </c>
      <c r="T68" s="46">
        <f t="shared" si="14"/>
        <v>76</v>
      </c>
      <c r="U68" s="46">
        <f t="shared" si="14"/>
        <v>0</v>
      </c>
      <c r="V68" s="46">
        <f t="shared" si="14"/>
        <v>34</v>
      </c>
      <c r="W68" s="46">
        <f t="shared" si="14"/>
        <v>25</v>
      </c>
      <c r="X68" s="46">
        <f t="shared" si="14"/>
        <v>0</v>
      </c>
      <c r="Y68" s="46">
        <f t="shared" si="14"/>
        <v>0</v>
      </c>
      <c r="Z68" s="46">
        <f t="shared" si="14"/>
        <v>0</v>
      </c>
      <c r="AA68" s="46">
        <f t="shared" si="14"/>
        <v>0.5</v>
      </c>
      <c r="AB68" s="46">
        <f t="shared" si="14"/>
        <v>0</v>
      </c>
      <c r="AC68" s="46">
        <f t="shared" si="14"/>
        <v>1</v>
      </c>
      <c r="AD68" s="46">
        <v>4</v>
      </c>
      <c r="AE68" s="46">
        <f>SUM(AE47+AE51+AE60+AE66)</f>
        <v>0</v>
      </c>
    </row>
    <row r="69" spans="1:31" ht="46.5" customHeight="1" thickBot="1">
      <c r="A69" s="156" t="s">
        <v>259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57"/>
    </row>
    <row r="70" spans="1:31" ht="47.25" thickBot="1">
      <c r="A70" s="165" t="s">
        <v>16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7"/>
    </row>
    <row r="71" spans="1:32" ht="45.75" customHeight="1">
      <c r="A71" s="168" t="s">
        <v>39</v>
      </c>
      <c r="B71" s="170" t="s">
        <v>26</v>
      </c>
      <c r="C71" s="154" t="s">
        <v>114</v>
      </c>
      <c r="D71" s="154" t="s">
        <v>115</v>
      </c>
      <c r="E71" s="154" t="s">
        <v>116</v>
      </c>
      <c r="F71" s="154" t="s">
        <v>117</v>
      </c>
      <c r="G71" s="154" t="s">
        <v>109</v>
      </c>
      <c r="H71" s="154" t="s">
        <v>118</v>
      </c>
      <c r="I71" s="154" t="s">
        <v>246</v>
      </c>
      <c r="J71" s="154" t="s">
        <v>247</v>
      </c>
      <c r="K71" s="90"/>
      <c r="L71" s="154" t="s">
        <v>217</v>
      </c>
      <c r="M71" s="154" t="s">
        <v>121</v>
      </c>
      <c r="N71" s="154" t="s">
        <v>81</v>
      </c>
      <c r="O71" s="154" t="s">
        <v>82</v>
      </c>
      <c r="P71" s="154" t="s">
        <v>122</v>
      </c>
      <c r="Q71" s="154" t="s">
        <v>83</v>
      </c>
      <c r="R71" s="154" t="s">
        <v>123</v>
      </c>
      <c r="S71" s="154" t="s">
        <v>126</v>
      </c>
      <c r="T71" s="154" t="s">
        <v>143</v>
      </c>
      <c r="U71" s="90"/>
      <c r="V71" s="154" t="s">
        <v>248</v>
      </c>
      <c r="W71" s="154" t="s">
        <v>249</v>
      </c>
      <c r="X71" s="154" t="s">
        <v>250</v>
      </c>
      <c r="Y71" s="154" t="s">
        <v>84</v>
      </c>
      <c r="Z71" s="154" t="s">
        <v>85</v>
      </c>
      <c r="AA71" s="154" t="s">
        <v>89</v>
      </c>
      <c r="AB71" s="90"/>
      <c r="AC71" s="154" t="s">
        <v>124</v>
      </c>
      <c r="AD71" s="154" t="s">
        <v>86</v>
      </c>
      <c r="AE71" s="154" t="s">
        <v>125</v>
      </c>
      <c r="AF71" s="96"/>
    </row>
    <row r="72" spans="1:32" s="96" customFormat="1" ht="344.25" thickBot="1">
      <c r="A72" s="169"/>
      <c r="B72" s="171"/>
      <c r="C72" s="155"/>
      <c r="D72" s="155"/>
      <c r="E72" s="155"/>
      <c r="F72" s="155"/>
      <c r="G72" s="155"/>
      <c r="H72" s="155"/>
      <c r="I72" s="155"/>
      <c r="J72" s="155"/>
      <c r="K72" s="91" t="s">
        <v>119</v>
      </c>
      <c r="L72" s="155"/>
      <c r="M72" s="155"/>
      <c r="N72" s="155"/>
      <c r="O72" s="155"/>
      <c r="P72" s="155"/>
      <c r="Q72" s="155"/>
      <c r="R72" s="155"/>
      <c r="S72" s="155"/>
      <c r="T72" s="155"/>
      <c r="U72" s="91" t="s">
        <v>111</v>
      </c>
      <c r="V72" s="155"/>
      <c r="W72" s="155"/>
      <c r="X72" s="155"/>
      <c r="Y72" s="155"/>
      <c r="Z72" s="155"/>
      <c r="AA72" s="155"/>
      <c r="AB72" s="91" t="s">
        <v>110</v>
      </c>
      <c r="AC72" s="155"/>
      <c r="AD72" s="155"/>
      <c r="AE72" s="155"/>
      <c r="AF72" s="81"/>
    </row>
    <row r="73" spans="1:31" ht="47.25" thickBot="1">
      <c r="A73" s="95">
        <v>1</v>
      </c>
      <c r="B73" s="68">
        <v>2</v>
      </c>
      <c r="C73" s="69" t="s">
        <v>112</v>
      </c>
      <c r="D73" s="70">
        <v>4</v>
      </c>
      <c r="E73" s="69">
        <v>5</v>
      </c>
      <c r="F73" s="69">
        <v>6</v>
      </c>
      <c r="G73" s="69">
        <v>7</v>
      </c>
      <c r="H73" s="69">
        <v>8</v>
      </c>
      <c r="I73" s="69" t="s">
        <v>113</v>
      </c>
      <c r="J73" s="70">
        <v>10</v>
      </c>
      <c r="K73" s="69">
        <v>11</v>
      </c>
      <c r="L73" s="69">
        <v>12</v>
      </c>
      <c r="M73" s="69">
        <v>13</v>
      </c>
      <c r="N73" s="69">
        <v>14</v>
      </c>
      <c r="O73" s="69">
        <v>15</v>
      </c>
      <c r="P73" s="94">
        <v>16</v>
      </c>
      <c r="Q73" s="69">
        <v>17</v>
      </c>
      <c r="R73" s="94">
        <v>18</v>
      </c>
      <c r="S73" s="69">
        <v>19</v>
      </c>
      <c r="T73" s="94">
        <v>20</v>
      </c>
      <c r="U73" s="94">
        <v>21</v>
      </c>
      <c r="V73" s="69">
        <v>22</v>
      </c>
      <c r="W73" s="69">
        <v>23</v>
      </c>
      <c r="X73" s="94">
        <v>24</v>
      </c>
      <c r="Y73" s="69">
        <v>25</v>
      </c>
      <c r="Z73" s="69">
        <v>26</v>
      </c>
      <c r="AA73" s="69">
        <v>27</v>
      </c>
      <c r="AB73" s="94">
        <v>28</v>
      </c>
      <c r="AC73" s="69">
        <v>29</v>
      </c>
      <c r="AD73" s="69">
        <v>30</v>
      </c>
      <c r="AE73" s="92">
        <v>31</v>
      </c>
    </row>
    <row r="74" spans="1:31" ht="47.25" thickBot="1">
      <c r="A74" s="165" t="s">
        <v>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7"/>
    </row>
    <row r="75" spans="1:31" ht="47.25" thickBot="1">
      <c r="A75" s="46">
        <v>23</v>
      </c>
      <c r="B75" s="48" t="s">
        <v>60</v>
      </c>
      <c r="C75" s="46"/>
      <c r="D75" s="57"/>
      <c r="E75" s="57"/>
      <c r="F75" s="57"/>
      <c r="G75" s="57">
        <v>19</v>
      </c>
      <c r="H75" s="51"/>
      <c r="I75" s="51"/>
      <c r="J75" s="51"/>
      <c r="K75" s="51"/>
      <c r="L75" s="51"/>
      <c r="M75" s="51"/>
      <c r="N75" s="52"/>
      <c r="O75" s="46">
        <v>4</v>
      </c>
      <c r="P75" s="52">
        <v>2</v>
      </c>
      <c r="Q75" s="46"/>
      <c r="R75" s="52"/>
      <c r="S75" s="46">
        <v>113</v>
      </c>
      <c r="T75" s="52"/>
      <c r="U75" s="46"/>
      <c r="V75" s="46"/>
      <c r="W75" s="46"/>
      <c r="X75" s="52"/>
      <c r="Y75" s="46"/>
      <c r="Z75" s="46"/>
      <c r="AA75" s="46"/>
      <c r="AB75" s="52"/>
      <c r="AC75" s="46"/>
      <c r="AD75" s="52"/>
      <c r="AE75" s="46"/>
    </row>
    <row r="76" spans="1:31" ht="47.25" thickBot="1">
      <c r="A76" s="44">
        <v>2</v>
      </c>
      <c r="B76" s="45" t="s">
        <v>189</v>
      </c>
      <c r="C76" s="46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44"/>
      <c r="O76" s="46">
        <v>9</v>
      </c>
      <c r="P76" s="44"/>
      <c r="Q76" s="52"/>
      <c r="R76" s="44"/>
      <c r="S76" s="52">
        <v>70</v>
      </c>
      <c r="T76" s="44"/>
      <c r="U76" s="52"/>
      <c r="V76" s="44"/>
      <c r="W76" s="52"/>
      <c r="X76" s="44"/>
      <c r="Y76" s="52"/>
      <c r="Z76" s="44"/>
      <c r="AA76" s="52"/>
      <c r="AB76" s="44">
        <v>2</v>
      </c>
      <c r="AC76" s="44"/>
      <c r="AD76" s="44"/>
      <c r="AE76" s="46"/>
    </row>
    <row r="77" spans="1:31" ht="47.25" thickBot="1">
      <c r="A77" s="44">
        <v>3</v>
      </c>
      <c r="B77" s="45" t="s">
        <v>58</v>
      </c>
      <c r="C77" s="51">
        <v>20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44"/>
      <c r="O77" s="52"/>
      <c r="P77" s="46">
        <v>4</v>
      </c>
      <c r="Q77" s="52"/>
      <c r="R77" s="44"/>
      <c r="S77" s="52"/>
      <c r="T77" s="66"/>
      <c r="U77" s="44"/>
      <c r="V77" s="46"/>
      <c r="W77" s="52"/>
      <c r="X77" s="44"/>
      <c r="Y77" s="52"/>
      <c r="Z77" s="44">
        <v>9.6</v>
      </c>
      <c r="AA77" s="52"/>
      <c r="AB77" s="44"/>
      <c r="AC77" s="51"/>
      <c r="AD77" s="66"/>
      <c r="AE77" s="44"/>
    </row>
    <row r="78" spans="1:31" ht="47.25" thickBot="1">
      <c r="A78" s="44"/>
      <c r="B78" s="45" t="s">
        <v>8</v>
      </c>
      <c r="C78" s="46">
        <f>SUM(C75+C76+C77)</f>
        <v>20</v>
      </c>
      <c r="D78" s="46">
        <f aca="true" t="shared" si="15" ref="D78:AE78">SUM(D75+D76+D77)</f>
        <v>0</v>
      </c>
      <c r="E78" s="46">
        <f t="shared" si="15"/>
        <v>0</v>
      </c>
      <c r="F78" s="46">
        <f t="shared" si="15"/>
        <v>0</v>
      </c>
      <c r="G78" s="46">
        <f t="shared" si="15"/>
        <v>19</v>
      </c>
      <c r="H78" s="46">
        <f t="shared" si="15"/>
        <v>0</v>
      </c>
      <c r="I78" s="46">
        <f t="shared" si="15"/>
        <v>0</v>
      </c>
      <c r="J78" s="46">
        <f t="shared" si="15"/>
        <v>0</v>
      </c>
      <c r="K78" s="46">
        <f t="shared" si="15"/>
        <v>0</v>
      </c>
      <c r="L78" s="46">
        <f t="shared" si="15"/>
        <v>0</v>
      </c>
      <c r="M78" s="46">
        <f t="shared" si="15"/>
        <v>0</v>
      </c>
      <c r="N78" s="46">
        <f t="shared" si="15"/>
        <v>0</v>
      </c>
      <c r="O78" s="46">
        <f t="shared" si="15"/>
        <v>13</v>
      </c>
      <c r="P78" s="46">
        <f t="shared" si="15"/>
        <v>6</v>
      </c>
      <c r="Q78" s="46">
        <f t="shared" si="15"/>
        <v>0</v>
      </c>
      <c r="R78" s="46">
        <f t="shared" si="15"/>
        <v>0</v>
      </c>
      <c r="S78" s="46">
        <f t="shared" si="15"/>
        <v>183</v>
      </c>
      <c r="T78" s="46">
        <f t="shared" si="15"/>
        <v>0</v>
      </c>
      <c r="U78" s="46">
        <f t="shared" si="15"/>
        <v>0</v>
      </c>
      <c r="V78" s="46">
        <f t="shared" si="15"/>
        <v>0</v>
      </c>
      <c r="W78" s="46">
        <f t="shared" si="15"/>
        <v>0</v>
      </c>
      <c r="X78" s="46">
        <f t="shared" si="15"/>
        <v>0</v>
      </c>
      <c r="Y78" s="46">
        <f t="shared" si="15"/>
        <v>0</v>
      </c>
      <c r="Z78" s="46">
        <f t="shared" si="15"/>
        <v>9.6</v>
      </c>
      <c r="AA78" s="67">
        <f t="shared" si="15"/>
        <v>0</v>
      </c>
      <c r="AB78" s="46">
        <f t="shared" si="15"/>
        <v>2</v>
      </c>
      <c r="AC78" s="57">
        <f t="shared" si="15"/>
        <v>0</v>
      </c>
      <c r="AD78" s="46">
        <f t="shared" si="15"/>
        <v>0</v>
      </c>
      <c r="AE78" s="46">
        <f t="shared" si="15"/>
        <v>0</v>
      </c>
    </row>
    <row r="79" spans="1:31" ht="47.25" thickBot="1">
      <c r="A79" s="156" t="s">
        <v>107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57"/>
    </row>
    <row r="80" spans="1:31" ht="47.25" thickBot="1">
      <c r="A80" s="44" t="s">
        <v>45</v>
      </c>
      <c r="B80" s="48" t="s">
        <v>108</v>
      </c>
      <c r="C80" s="46"/>
      <c r="D80" s="51"/>
      <c r="E80" s="51"/>
      <c r="F80" s="51"/>
      <c r="G80" s="51"/>
      <c r="H80" s="51"/>
      <c r="I80" s="51"/>
      <c r="J80" s="51"/>
      <c r="K80" s="51">
        <v>90</v>
      </c>
      <c r="L80" s="51"/>
      <c r="M80" s="51"/>
      <c r="N80" s="52"/>
      <c r="O80" s="46"/>
      <c r="P80" s="52"/>
      <c r="Q80" s="46"/>
      <c r="R80" s="52"/>
      <c r="S80" s="46"/>
      <c r="T80" s="52"/>
      <c r="U80" s="46"/>
      <c r="V80" s="46"/>
      <c r="W80" s="52"/>
      <c r="X80" s="46"/>
      <c r="Y80" s="46"/>
      <c r="Z80" s="52"/>
      <c r="AA80" s="46"/>
      <c r="AB80" s="52"/>
      <c r="AC80" s="46"/>
      <c r="AD80" s="46"/>
      <c r="AE80" s="51"/>
    </row>
    <row r="81" spans="1:31" ht="47.25" thickBot="1">
      <c r="A81" s="44" t="s">
        <v>45</v>
      </c>
      <c r="B81" s="45" t="s">
        <v>41</v>
      </c>
      <c r="C81" s="46"/>
      <c r="D81" s="51"/>
      <c r="E81" s="51"/>
      <c r="F81" s="51"/>
      <c r="G81" s="51"/>
      <c r="H81" s="51"/>
      <c r="I81" s="51"/>
      <c r="J81" s="51"/>
      <c r="K81" s="51"/>
      <c r="L81" s="51">
        <v>100</v>
      </c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7"/>
    </row>
    <row r="82" spans="1:31" ht="47.25" thickBot="1">
      <c r="A82" s="44"/>
      <c r="B82" s="45" t="s">
        <v>37</v>
      </c>
      <c r="C82" s="46">
        <f>SUM(C80:C81)</f>
        <v>0</v>
      </c>
      <c r="D82" s="46">
        <f aca="true" t="shared" si="16" ref="D82:M82">SUM(D80:D81)</f>
        <v>0</v>
      </c>
      <c r="E82" s="46">
        <f t="shared" si="16"/>
        <v>0</v>
      </c>
      <c r="F82" s="46">
        <f t="shared" si="16"/>
        <v>0</v>
      </c>
      <c r="G82" s="46">
        <f t="shared" si="16"/>
        <v>0</v>
      </c>
      <c r="H82" s="46">
        <f t="shared" si="16"/>
        <v>0</v>
      </c>
      <c r="I82" s="46">
        <f t="shared" si="16"/>
        <v>0</v>
      </c>
      <c r="J82" s="46">
        <f t="shared" si="16"/>
        <v>0</v>
      </c>
      <c r="K82" s="46">
        <f t="shared" si="16"/>
        <v>90</v>
      </c>
      <c r="L82" s="46">
        <f t="shared" si="16"/>
        <v>100</v>
      </c>
      <c r="M82" s="46">
        <f t="shared" si="16"/>
        <v>0</v>
      </c>
      <c r="N82" s="46">
        <f aca="true" t="shared" si="17" ref="N82:AE82">SUM(N80)</f>
        <v>0</v>
      </c>
      <c r="O82" s="46">
        <f t="shared" si="17"/>
        <v>0</v>
      </c>
      <c r="P82" s="46">
        <f t="shared" si="17"/>
        <v>0</v>
      </c>
      <c r="Q82" s="46">
        <f t="shared" si="17"/>
        <v>0</v>
      </c>
      <c r="R82" s="46">
        <f t="shared" si="17"/>
        <v>0</v>
      </c>
      <c r="S82" s="46">
        <f t="shared" si="17"/>
        <v>0</v>
      </c>
      <c r="T82" s="46">
        <f t="shared" si="17"/>
        <v>0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 t="shared" si="17"/>
        <v>0</v>
      </c>
      <c r="AA82" s="46">
        <f t="shared" si="17"/>
        <v>0</v>
      </c>
      <c r="AB82" s="46">
        <f t="shared" si="17"/>
        <v>0</v>
      </c>
      <c r="AC82" s="46">
        <f t="shared" si="17"/>
        <v>0</v>
      </c>
      <c r="AD82" s="46">
        <f t="shared" si="17"/>
        <v>0</v>
      </c>
      <c r="AE82" s="46">
        <f t="shared" si="17"/>
        <v>0</v>
      </c>
    </row>
    <row r="83" spans="1:31" ht="47.25" thickBot="1">
      <c r="A83" s="156" t="s">
        <v>40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57"/>
    </row>
    <row r="84" spans="1:31" ht="93.75" thickBot="1">
      <c r="A84" s="44">
        <v>24</v>
      </c>
      <c r="B84" s="45" t="s">
        <v>142</v>
      </c>
      <c r="C84" s="46"/>
      <c r="D84" s="51"/>
      <c r="E84" s="51"/>
      <c r="F84" s="51"/>
      <c r="G84" s="51"/>
      <c r="H84" s="51"/>
      <c r="I84" s="51"/>
      <c r="J84" s="51">
        <v>43</v>
      </c>
      <c r="K84" s="51"/>
      <c r="L84" s="51"/>
      <c r="M84" s="51"/>
      <c r="N84" s="44"/>
      <c r="O84" s="52"/>
      <c r="P84" s="44"/>
      <c r="Q84" s="52">
        <v>4</v>
      </c>
      <c r="R84" s="44"/>
      <c r="S84" s="52"/>
      <c r="T84" s="44"/>
      <c r="U84" s="52"/>
      <c r="V84" s="46"/>
      <c r="W84" s="52"/>
      <c r="X84" s="44"/>
      <c r="Y84" s="52"/>
      <c r="Z84" s="44"/>
      <c r="AA84" s="46"/>
      <c r="AB84" s="52"/>
      <c r="AC84" s="44"/>
      <c r="AD84" s="44"/>
      <c r="AE84" s="51"/>
    </row>
    <row r="85" spans="1:31" ht="93.75" thickBot="1">
      <c r="A85" s="44">
        <v>34</v>
      </c>
      <c r="B85" s="45" t="s">
        <v>56</v>
      </c>
      <c r="C85" s="46"/>
      <c r="D85" s="51"/>
      <c r="E85" s="51"/>
      <c r="F85" s="51"/>
      <c r="G85" s="51"/>
      <c r="H85" s="51"/>
      <c r="I85" s="51">
        <v>24</v>
      </c>
      <c r="J85" s="51">
        <v>64</v>
      </c>
      <c r="K85" s="51"/>
      <c r="L85" s="51"/>
      <c r="M85" s="51"/>
      <c r="N85" s="52"/>
      <c r="O85" s="44"/>
      <c r="P85" s="52">
        <v>3</v>
      </c>
      <c r="Q85" s="44"/>
      <c r="R85" s="52"/>
      <c r="S85" s="44"/>
      <c r="T85" s="44"/>
      <c r="U85" s="52"/>
      <c r="V85" s="44">
        <v>13</v>
      </c>
      <c r="W85" s="52"/>
      <c r="X85" s="46"/>
      <c r="Y85" s="46">
        <v>6</v>
      </c>
      <c r="Z85" s="52"/>
      <c r="AA85" s="44"/>
      <c r="AB85" s="52"/>
      <c r="AC85" s="44"/>
      <c r="AD85" s="44"/>
      <c r="AE85" s="51"/>
    </row>
    <row r="86" spans="1:31" ht="47.25" thickBot="1">
      <c r="A86" s="46">
        <v>40</v>
      </c>
      <c r="B86" s="45" t="s">
        <v>190</v>
      </c>
      <c r="C86" s="44"/>
      <c r="D86" s="51"/>
      <c r="E86" s="51">
        <v>0.5</v>
      </c>
      <c r="F86" s="51"/>
      <c r="G86" s="51"/>
      <c r="H86" s="51"/>
      <c r="I86" s="51"/>
      <c r="J86" s="51">
        <v>38</v>
      </c>
      <c r="K86" s="51"/>
      <c r="L86" s="51"/>
      <c r="M86" s="51"/>
      <c r="N86" s="51"/>
      <c r="O86" s="51"/>
      <c r="P86" s="51">
        <v>0.5</v>
      </c>
      <c r="Q86" s="51">
        <v>6</v>
      </c>
      <c r="R86" s="51"/>
      <c r="S86" s="51"/>
      <c r="T86" s="51"/>
      <c r="U86" s="51"/>
      <c r="V86" s="51"/>
      <c r="W86" s="51"/>
      <c r="X86" s="51">
        <v>85</v>
      </c>
      <c r="Y86" s="51">
        <v>9</v>
      </c>
      <c r="Z86" s="51"/>
      <c r="AA86" s="51"/>
      <c r="AB86" s="51"/>
      <c r="AC86" s="51"/>
      <c r="AD86" s="51"/>
      <c r="AE86" s="51"/>
    </row>
    <row r="87" spans="1:31" ht="47.25" thickBot="1">
      <c r="A87" s="46">
        <v>59</v>
      </c>
      <c r="B87" s="45" t="s">
        <v>186</v>
      </c>
      <c r="C87" s="44"/>
      <c r="D87" s="51"/>
      <c r="E87" s="51"/>
      <c r="F87" s="51"/>
      <c r="G87" s="51">
        <v>30</v>
      </c>
      <c r="H87" s="51"/>
      <c r="I87" s="51"/>
      <c r="J87" s="51">
        <v>27</v>
      </c>
      <c r="K87" s="51"/>
      <c r="L87" s="51"/>
      <c r="M87" s="51"/>
      <c r="N87" s="51"/>
      <c r="O87" s="51"/>
      <c r="P87" s="51">
        <v>5</v>
      </c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47.25" thickBot="1">
      <c r="A88" s="44">
        <v>9</v>
      </c>
      <c r="B88" s="45" t="s">
        <v>74</v>
      </c>
      <c r="C88" s="46"/>
      <c r="D88" s="51"/>
      <c r="E88" s="51"/>
      <c r="F88" s="51"/>
      <c r="G88" s="51"/>
      <c r="H88" s="51"/>
      <c r="I88" s="51"/>
      <c r="J88" s="51"/>
      <c r="K88" s="51"/>
      <c r="L88" s="51"/>
      <c r="M88" s="51">
        <v>20</v>
      </c>
      <c r="N88" s="52"/>
      <c r="O88" s="44">
        <v>11</v>
      </c>
      <c r="P88" s="52"/>
      <c r="Q88" s="44"/>
      <c r="R88" s="52"/>
      <c r="S88" s="44"/>
      <c r="T88" s="44"/>
      <c r="U88" s="52"/>
      <c r="V88" s="44"/>
      <c r="W88" s="52"/>
      <c r="X88" s="44"/>
      <c r="Y88" s="44"/>
      <c r="Z88" s="52"/>
      <c r="AA88" s="44"/>
      <c r="AB88" s="52"/>
      <c r="AC88" s="44"/>
      <c r="AD88" s="66"/>
      <c r="AE88" s="44"/>
    </row>
    <row r="89" spans="1:31" ht="47.25" thickBot="1">
      <c r="A89" s="44" t="s">
        <v>45</v>
      </c>
      <c r="B89" s="45" t="s">
        <v>114</v>
      </c>
      <c r="C89" s="51">
        <v>25</v>
      </c>
      <c r="D89" s="51"/>
      <c r="E89" s="57"/>
      <c r="F89" s="57"/>
      <c r="G89" s="57"/>
      <c r="H89" s="51"/>
      <c r="I89" s="51"/>
      <c r="J89" s="51"/>
      <c r="K89" s="51"/>
      <c r="L89" s="51"/>
      <c r="M89" s="51"/>
      <c r="N89" s="52"/>
      <c r="O89" s="46"/>
      <c r="P89" s="52"/>
      <c r="Q89" s="46"/>
      <c r="R89" s="52"/>
      <c r="S89" s="46"/>
      <c r="T89" s="52"/>
      <c r="U89" s="44"/>
      <c r="V89" s="46"/>
      <c r="W89" s="52"/>
      <c r="X89" s="44"/>
      <c r="Y89" s="46"/>
      <c r="Z89" s="46"/>
      <c r="AA89" s="52"/>
      <c r="AB89" s="44"/>
      <c r="AC89" s="46"/>
      <c r="AD89" s="52"/>
      <c r="AE89" s="46"/>
    </row>
    <row r="90" spans="1:31" ht="47.25" thickBot="1">
      <c r="A90" s="44" t="s">
        <v>45</v>
      </c>
      <c r="B90" s="45" t="s">
        <v>144</v>
      </c>
      <c r="C90" s="46"/>
      <c r="D90" s="51">
        <v>40</v>
      </c>
      <c r="E90" s="57"/>
      <c r="F90" s="57"/>
      <c r="G90" s="57"/>
      <c r="H90" s="51"/>
      <c r="I90" s="51"/>
      <c r="J90" s="51"/>
      <c r="K90" s="51"/>
      <c r="L90" s="51"/>
      <c r="M90" s="51"/>
      <c r="N90" s="52"/>
      <c r="O90" s="46"/>
      <c r="P90" s="52"/>
      <c r="Q90" s="46"/>
      <c r="R90" s="52"/>
      <c r="S90" s="46"/>
      <c r="T90" s="52"/>
      <c r="U90" s="44"/>
      <c r="V90" s="46"/>
      <c r="W90" s="52"/>
      <c r="X90" s="44"/>
      <c r="Y90" s="46"/>
      <c r="Z90" s="46"/>
      <c r="AA90" s="52"/>
      <c r="AB90" s="44"/>
      <c r="AC90" s="46"/>
      <c r="AD90" s="52"/>
      <c r="AE90" s="46"/>
    </row>
    <row r="91" spans="1:31" ht="47.25" thickBot="1">
      <c r="A91" s="44"/>
      <c r="B91" s="45" t="s">
        <v>8</v>
      </c>
      <c r="C91" s="51">
        <f aca="true" t="shared" si="18" ref="C91:AE91">SUM(C84:C90)</f>
        <v>25</v>
      </c>
      <c r="D91" s="51">
        <f t="shared" si="18"/>
        <v>40</v>
      </c>
      <c r="E91" s="51">
        <f t="shared" si="18"/>
        <v>0.5</v>
      </c>
      <c r="F91" s="51">
        <f t="shared" si="18"/>
        <v>0</v>
      </c>
      <c r="G91" s="51">
        <f t="shared" si="18"/>
        <v>30</v>
      </c>
      <c r="H91" s="51">
        <f t="shared" si="18"/>
        <v>0</v>
      </c>
      <c r="I91" s="51">
        <f t="shared" si="18"/>
        <v>24</v>
      </c>
      <c r="J91" s="51">
        <f t="shared" si="18"/>
        <v>172</v>
      </c>
      <c r="K91" s="51">
        <f t="shared" si="18"/>
        <v>0</v>
      </c>
      <c r="L91" s="51">
        <f t="shared" si="18"/>
        <v>0</v>
      </c>
      <c r="M91" s="51">
        <f t="shared" si="18"/>
        <v>20</v>
      </c>
      <c r="N91" s="51">
        <f t="shared" si="18"/>
        <v>0</v>
      </c>
      <c r="O91" s="51">
        <f t="shared" si="18"/>
        <v>11</v>
      </c>
      <c r="P91" s="51">
        <f t="shared" si="18"/>
        <v>8.5</v>
      </c>
      <c r="Q91" s="51">
        <f t="shared" si="18"/>
        <v>10</v>
      </c>
      <c r="R91" s="51">
        <f t="shared" si="18"/>
        <v>0</v>
      </c>
      <c r="S91" s="51">
        <f t="shared" si="18"/>
        <v>0</v>
      </c>
      <c r="T91" s="51">
        <f t="shared" si="18"/>
        <v>0</v>
      </c>
      <c r="U91" s="51">
        <f t="shared" si="18"/>
        <v>0</v>
      </c>
      <c r="V91" s="51">
        <f t="shared" si="18"/>
        <v>13</v>
      </c>
      <c r="W91" s="51">
        <f t="shared" si="18"/>
        <v>0</v>
      </c>
      <c r="X91" s="51">
        <f t="shared" si="18"/>
        <v>85</v>
      </c>
      <c r="Y91" s="51">
        <f t="shared" si="18"/>
        <v>15</v>
      </c>
      <c r="Z91" s="51">
        <f t="shared" si="18"/>
        <v>0</v>
      </c>
      <c r="AA91" s="51">
        <f t="shared" si="18"/>
        <v>0</v>
      </c>
      <c r="AB91" s="51">
        <f t="shared" si="18"/>
        <v>0</v>
      </c>
      <c r="AC91" s="51">
        <f t="shared" si="18"/>
        <v>0</v>
      </c>
      <c r="AD91" s="51">
        <f t="shared" si="18"/>
        <v>0</v>
      </c>
      <c r="AE91" s="51">
        <f t="shared" si="18"/>
        <v>0</v>
      </c>
    </row>
    <row r="92" spans="1:31" ht="46.5" customHeight="1" thickBot="1">
      <c r="A92" s="156" t="s">
        <v>207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57"/>
    </row>
    <row r="93" spans="1:31" ht="47.25" thickBot="1">
      <c r="A93" s="44">
        <v>67</v>
      </c>
      <c r="B93" s="45" t="s">
        <v>62</v>
      </c>
      <c r="C93" s="44"/>
      <c r="D93" s="51"/>
      <c r="E93" s="51"/>
      <c r="F93" s="51"/>
      <c r="G93" s="51">
        <v>5</v>
      </c>
      <c r="H93" s="51"/>
      <c r="I93" s="57">
        <v>60</v>
      </c>
      <c r="J93" s="57">
        <v>16</v>
      </c>
      <c r="K93" s="57"/>
      <c r="L93" s="57"/>
      <c r="M93" s="57"/>
      <c r="N93" s="57"/>
      <c r="O93" s="57"/>
      <c r="P93" s="57">
        <v>3</v>
      </c>
      <c r="Q93" s="57"/>
      <c r="R93" s="57"/>
      <c r="S93" s="57"/>
      <c r="T93" s="57"/>
      <c r="U93" s="57"/>
      <c r="V93" s="57"/>
      <c r="W93" s="57"/>
      <c r="X93" s="57">
        <v>32</v>
      </c>
      <c r="Y93" s="57"/>
      <c r="Z93" s="57"/>
      <c r="AA93" s="57"/>
      <c r="AB93" s="57"/>
      <c r="AC93" s="57"/>
      <c r="AD93" s="57"/>
      <c r="AE93" s="51"/>
    </row>
    <row r="94" spans="1:31" ht="47.25" thickBot="1">
      <c r="A94" s="46">
        <v>13</v>
      </c>
      <c r="B94" s="50" t="s">
        <v>9</v>
      </c>
      <c r="C94" s="46"/>
      <c r="D94" s="57"/>
      <c r="E94" s="57"/>
      <c r="F94" s="57"/>
      <c r="G94" s="57"/>
      <c r="H94" s="51"/>
      <c r="I94" s="51"/>
      <c r="J94" s="51"/>
      <c r="K94" s="51"/>
      <c r="L94" s="51"/>
      <c r="M94" s="51"/>
      <c r="N94" s="52"/>
      <c r="O94" s="46">
        <v>9</v>
      </c>
      <c r="P94" s="52"/>
      <c r="Q94" s="46"/>
      <c r="R94" s="52"/>
      <c r="S94" s="46"/>
      <c r="T94" s="46"/>
      <c r="U94" s="52"/>
      <c r="V94" s="46"/>
      <c r="W94" s="52"/>
      <c r="X94" s="46"/>
      <c r="Y94" s="46"/>
      <c r="Z94" s="52"/>
      <c r="AA94" s="46">
        <v>0.5</v>
      </c>
      <c r="AB94" s="46"/>
      <c r="AC94" s="52"/>
      <c r="AD94" s="46"/>
      <c r="AE94" s="51"/>
    </row>
    <row r="95" spans="1:31" ht="47.25" thickBot="1">
      <c r="A95" s="44" t="s">
        <v>45</v>
      </c>
      <c r="B95" s="45" t="s">
        <v>114</v>
      </c>
      <c r="C95" s="51">
        <v>20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6" spans="1:31" ht="47.25" thickBot="1">
      <c r="A96" s="44">
        <v>21</v>
      </c>
      <c r="B96" s="73" t="s">
        <v>38</v>
      </c>
      <c r="C96" s="44"/>
      <c r="D96" s="51"/>
      <c r="E96" s="44"/>
      <c r="F96" s="44"/>
      <c r="G96" s="44"/>
      <c r="H96" s="51"/>
      <c r="I96" s="51"/>
      <c r="J96" s="51"/>
      <c r="K96" s="51"/>
      <c r="L96" s="51"/>
      <c r="M96" s="51"/>
      <c r="N96" s="52"/>
      <c r="O96" s="46"/>
      <c r="P96" s="52"/>
      <c r="Q96" s="46"/>
      <c r="R96" s="52"/>
      <c r="S96" s="46">
        <v>145</v>
      </c>
      <c r="T96" s="52"/>
      <c r="U96" s="46"/>
      <c r="V96" s="46"/>
      <c r="W96" s="52"/>
      <c r="X96" s="46"/>
      <c r="Y96" s="46"/>
      <c r="Z96" s="52"/>
      <c r="AA96" s="46"/>
      <c r="AB96" s="46"/>
      <c r="AC96" s="52"/>
      <c r="AD96" s="46"/>
      <c r="AE96" s="51"/>
    </row>
    <row r="97" spans="1:31" ht="47.25" thickBot="1">
      <c r="A97" s="44">
        <v>77</v>
      </c>
      <c r="B97" s="50" t="s">
        <v>73</v>
      </c>
      <c r="C97" s="44"/>
      <c r="D97" s="57"/>
      <c r="E97" s="57"/>
      <c r="F97" s="57"/>
      <c r="G97" s="57">
        <v>17</v>
      </c>
      <c r="H97" s="51"/>
      <c r="I97" s="51"/>
      <c r="J97" s="51"/>
      <c r="K97" s="51"/>
      <c r="L97" s="51"/>
      <c r="M97" s="51"/>
      <c r="N97" s="51"/>
      <c r="O97" s="51">
        <v>3</v>
      </c>
      <c r="P97" s="51">
        <v>1.7</v>
      </c>
      <c r="Q97" s="51">
        <v>1</v>
      </c>
      <c r="R97" s="51">
        <v>5</v>
      </c>
      <c r="S97" s="51">
        <v>25</v>
      </c>
      <c r="T97" s="51"/>
      <c r="U97" s="51"/>
      <c r="V97" s="51"/>
      <c r="W97" s="51"/>
      <c r="X97" s="51"/>
      <c r="Y97" s="51">
        <v>15</v>
      </c>
      <c r="Z97" s="51"/>
      <c r="AA97" s="51"/>
      <c r="AB97" s="51"/>
      <c r="AC97" s="51"/>
      <c r="AD97" s="51"/>
      <c r="AE97" s="51"/>
    </row>
    <row r="98" spans="1:31" ht="47.25" thickBot="1">
      <c r="A98" s="44"/>
      <c r="B98" s="45" t="s">
        <v>8</v>
      </c>
      <c r="C98" s="46">
        <f>SUM(C93:C97)</f>
        <v>20</v>
      </c>
      <c r="D98" s="46">
        <f aca="true" t="shared" si="19" ref="D98:AE98">SUM(D93:D97)</f>
        <v>0</v>
      </c>
      <c r="E98" s="46">
        <f t="shared" si="19"/>
        <v>0</v>
      </c>
      <c r="F98" s="46">
        <f t="shared" si="19"/>
        <v>0</v>
      </c>
      <c r="G98" s="46">
        <f t="shared" si="19"/>
        <v>22</v>
      </c>
      <c r="H98" s="46">
        <f t="shared" si="19"/>
        <v>0</v>
      </c>
      <c r="I98" s="46">
        <f t="shared" si="19"/>
        <v>60</v>
      </c>
      <c r="J98" s="46">
        <f t="shared" si="19"/>
        <v>16</v>
      </c>
      <c r="K98" s="46">
        <f t="shared" si="19"/>
        <v>0</v>
      </c>
      <c r="L98" s="46">
        <f t="shared" si="19"/>
        <v>0</v>
      </c>
      <c r="M98" s="46">
        <f t="shared" si="19"/>
        <v>0</v>
      </c>
      <c r="N98" s="46">
        <f t="shared" si="19"/>
        <v>0</v>
      </c>
      <c r="O98" s="46">
        <f t="shared" si="19"/>
        <v>12</v>
      </c>
      <c r="P98" s="46">
        <f t="shared" si="19"/>
        <v>4.7</v>
      </c>
      <c r="Q98" s="46">
        <f t="shared" si="19"/>
        <v>1</v>
      </c>
      <c r="R98" s="46">
        <f t="shared" si="19"/>
        <v>5</v>
      </c>
      <c r="S98" s="46">
        <f t="shared" si="19"/>
        <v>170</v>
      </c>
      <c r="T98" s="46">
        <f t="shared" si="19"/>
        <v>0</v>
      </c>
      <c r="U98" s="46">
        <f t="shared" si="19"/>
        <v>0</v>
      </c>
      <c r="V98" s="46">
        <f t="shared" si="19"/>
        <v>0</v>
      </c>
      <c r="W98" s="46">
        <f t="shared" si="19"/>
        <v>0</v>
      </c>
      <c r="X98" s="46">
        <f t="shared" si="19"/>
        <v>32</v>
      </c>
      <c r="Y98" s="46">
        <f t="shared" si="19"/>
        <v>15</v>
      </c>
      <c r="Z98" s="46">
        <f t="shared" si="19"/>
        <v>0</v>
      </c>
      <c r="AA98" s="46">
        <f t="shared" si="19"/>
        <v>0.5</v>
      </c>
      <c r="AB98" s="46">
        <f t="shared" si="19"/>
        <v>0</v>
      </c>
      <c r="AC98" s="46">
        <f t="shared" si="19"/>
        <v>0</v>
      </c>
      <c r="AD98" s="46">
        <f t="shared" si="19"/>
        <v>0</v>
      </c>
      <c r="AE98" s="46">
        <f t="shared" si="19"/>
        <v>0</v>
      </c>
    </row>
    <row r="99" spans="1:31" ht="93.75" thickBot="1">
      <c r="A99" s="95"/>
      <c r="B99" s="45" t="s">
        <v>145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>
        <v>4</v>
      </c>
      <c r="AE99" s="46"/>
    </row>
    <row r="100" spans="1:31" ht="47.25" thickBot="1">
      <c r="A100" s="44"/>
      <c r="B100" s="74" t="s">
        <v>12</v>
      </c>
      <c r="C100" s="46">
        <f aca="true" t="shared" si="20" ref="C100:AC100">SUM(C78+C82+C91+C98)</f>
        <v>65</v>
      </c>
      <c r="D100" s="46">
        <f t="shared" si="20"/>
        <v>40</v>
      </c>
      <c r="E100" s="46">
        <f t="shared" si="20"/>
        <v>0.5</v>
      </c>
      <c r="F100" s="46">
        <f t="shared" si="20"/>
        <v>0</v>
      </c>
      <c r="G100" s="46">
        <f t="shared" si="20"/>
        <v>71</v>
      </c>
      <c r="H100" s="46">
        <f t="shared" si="20"/>
        <v>0</v>
      </c>
      <c r="I100" s="46">
        <f t="shared" si="20"/>
        <v>84</v>
      </c>
      <c r="J100" s="46">
        <f t="shared" si="20"/>
        <v>188</v>
      </c>
      <c r="K100" s="46">
        <f t="shared" si="20"/>
        <v>90</v>
      </c>
      <c r="L100" s="46">
        <f t="shared" si="20"/>
        <v>100</v>
      </c>
      <c r="M100" s="46">
        <f t="shared" si="20"/>
        <v>20</v>
      </c>
      <c r="N100" s="46">
        <f t="shared" si="20"/>
        <v>0</v>
      </c>
      <c r="O100" s="46">
        <f t="shared" si="20"/>
        <v>36</v>
      </c>
      <c r="P100" s="46">
        <f t="shared" si="20"/>
        <v>19.2</v>
      </c>
      <c r="Q100" s="46">
        <f t="shared" si="20"/>
        <v>11</v>
      </c>
      <c r="R100" s="46">
        <f t="shared" si="20"/>
        <v>5</v>
      </c>
      <c r="S100" s="46">
        <f t="shared" si="20"/>
        <v>353</v>
      </c>
      <c r="T100" s="46">
        <f t="shared" si="20"/>
        <v>0</v>
      </c>
      <c r="U100" s="46">
        <f t="shared" si="20"/>
        <v>0</v>
      </c>
      <c r="V100" s="46">
        <f t="shared" si="20"/>
        <v>13</v>
      </c>
      <c r="W100" s="46">
        <f t="shared" si="20"/>
        <v>0</v>
      </c>
      <c r="X100" s="46">
        <f t="shared" si="20"/>
        <v>117</v>
      </c>
      <c r="Y100" s="46">
        <f t="shared" si="20"/>
        <v>30</v>
      </c>
      <c r="Z100" s="46">
        <f t="shared" si="20"/>
        <v>9.6</v>
      </c>
      <c r="AA100" s="46">
        <f t="shared" si="20"/>
        <v>0.5</v>
      </c>
      <c r="AB100" s="46">
        <f t="shared" si="20"/>
        <v>2</v>
      </c>
      <c r="AC100" s="46">
        <f t="shared" si="20"/>
        <v>0</v>
      </c>
      <c r="AD100" s="46">
        <v>4</v>
      </c>
      <c r="AE100" s="46">
        <f>SUM(AE78+AE82+AE91+AE98)</f>
        <v>0</v>
      </c>
    </row>
    <row r="101" spans="1:31" ht="46.5" customHeight="1" thickBot="1">
      <c r="A101" s="156" t="s">
        <v>259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57"/>
    </row>
    <row r="102" spans="1:31" ht="47.25" thickBot="1">
      <c r="A102" s="165" t="s">
        <v>17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7"/>
    </row>
    <row r="103" spans="1:31" ht="45.75" customHeight="1">
      <c r="A103" s="168" t="s">
        <v>39</v>
      </c>
      <c r="B103" s="170" t="s">
        <v>26</v>
      </c>
      <c r="C103" s="154" t="s">
        <v>114</v>
      </c>
      <c r="D103" s="154" t="s">
        <v>115</v>
      </c>
      <c r="E103" s="154" t="s">
        <v>116</v>
      </c>
      <c r="F103" s="154" t="s">
        <v>117</v>
      </c>
      <c r="G103" s="154" t="s">
        <v>109</v>
      </c>
      <c r="H103" s="154" t="s">
        <v>118</v>
      </c>
      <c r="I103" s="154" t="s">
        <v>246</v>
      </c>
      <c r="J103" s="154" t="s">
        <v>247</v>
      </c>
      <c r="K103" s="90"/>
      <c r="L103" s="154" t="s">
        <v>217</v>
      </c>
      <c r="M103" s="154" t="s">
        <v>121</v>
      </c>
      <c r="N103" s="154" t="s">
        <v>81</v>
      </c>
      <c r="O103" s="154" t="s">
        <v>82</v>
      </c>
      <c r="P103" s="154" t="s">
        <v>122</v>
      </c>
      <c r="Q103" s="154" t="s">
        <v>83</v>
      </c>
      <c r="R103" s="154" t="s">
        <v>123</v>
      </c>
      <c r="S103" s="154" t="s">
        <v>126</v>
      </c>
      <c r="T103" s="154" t="s">
        <v>143</v>
      </c>
      <c r="U103" s="90"/>
      <c r="V103" s="154" t="s">
        <v>248</v>
      </c>
      <c r="W103" s="154" t="s">
        <v>249</v>
      </c>
      <c r="X103" s="154" t="s">
        <v>250</v>
      </c>
      <c r="Y103" s="154" t="s">
        <v>84</v>
      </c>
      <c r="Z103" s="154" t="s">
        <v>85</v>
      </c>
      <c r="AA103" s="154" t="s">
        <v>89</v>
      </c>
      <c r="AB103" s="90"/>
      <c r="AC103" s="154" t="s">
        <v>124</v>
      </c>
      <c r="AD103" s="154" t="s">
        <v>86</v>
      </c>
      <c r="AE103" s="154" t="s">
        <v>125</v>
      </c>
    </row>
    <row r="104" spans="1:31" ht="344.25" thickBot="1">
      <c r="A104" s="169"/>
      <c r="B104" s="171"/>
      <c r="C104" s="155"/>
      <c r="D104" s="155"/>
      <c r="E104" s="155"/>
      <c r="F104" s="155"/>
      <c r="G104" s="155"/>
      <c r="H104" s="155"/>
      <c r="I104" s="155"/>
      <c r="J104" s="155"/>
      <c r="K104" s="91" t="s">
        <v>119</v>
      </c>
      <c r="L104" s="155"/>
      <c r="M104" s="155"/>
      <c r="N104" s="155"/>
      <c r="O104" s="155"/>
      <c r="P104" s="155"/>
      <c r="Q104" s="155"/>
      <c r="R104" s="155"/>
      <c r="S104" s="155"/>
      <c r="T104" s="155"/>
      <c r="U104" s="91" t="s">
        <v>111</v>
      </c>
      <c r="V104" s="155"/>
      <c r="W104" s="155"/>
      <c r="X104" s="155"/>
      <c r="Y104" s="155"/>
      <c r="Z104" s="155"/>
      <c r="AA104" s="155"/>
      <c r="AB104" s="91" t="s">
        <v>110</v>
      </c>
      <c r="AC104" s="155"/>
      <c r="AD104" s="155"/>
      <c r="AE104" s="155"/>
    </row>
    <row r="105" spans="1:31" ht="47.25" thickBot="1">
      <c r="A105" s="95">
        <v>1</v>
      </c>
      <c r="B105" s="68">
        <v>2</v>
      </c>
      <c r="C105" s="69" t="s">
        <v>112</v>
      </c>
      <c r="D105" s="70">
        <v>4</v>
      </c>
      <c r="E105" s="69">
        <v>5</v>
      </c>
      <c r="F105" s="69">
        <v>6</v>
      </c>
      <c r="G105" s="69">
        <v>7</v>
      </c>
      <c r="H105" s="69">
        <v>8</v>
      </c>
      <c r="I105" s="69" t="s">
        <v>113</v>
      </c>
      <c r="J105" s="70">
        <v>10</v>
      </c>
      <c r="K105" s="69">
        <v>11</v>
      </c>
      <c r="L105" s="69">
        <v>12</v>
      </c>
      <c r="M105" s="69">
        <v>13</v>
      </c>
      <c r="N105" s="69">
        <v>14</v>
      </c>
      <c r="O105" s="69">
        <v>15</v>
      </c>
      <c r="P105" s="94">
        <v>16</v>
      </c>
      <c r="Q105" s="69">
        <v>17</v>
      </c>
      <c r="R105" s="94">
        <v>18</v>
      </c>
      <c r="S105" s="69">
        <v>19</v>
      </c>
      <c r="T105" s="94">
        <v>20</v>
      </c>
      <c r="U105" s="94">
        <v>21</v>
      </c>
      <c r="V105" s="69">
        <v>22</v>
      </c>
      <c r="W105" s="69">
        <v>23</v>
      </c>
      <c r="X105" s="94">
        <v>24</v>
      </c>
      <c r="Y105" s="69">
        <v>25</v>
      </c>
      <c r="Z105" s="69">
        <v>26</v>
      </c>
      <c r="AA105" s="69">
        <v>27</v>
      </c>
      <c r="AB105" s="94">
        <v>28</v>
      </c>
      <c r="AC105" s="69">
        <v>29</v>
      </c>
      <c r="AD105" s="69">
        <v>30</v>
      </c>
      <c r="AE105" s="92">
        <v>31</v>
      </c>
    </row>
    <row r="106" spans="1:31" ht="47.25" thickBot="1">
      <c r="A106" s="165" t="s">
        <v>7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7"/>
    </row>
    <row r="107" spans="1:31" ht="47.25" thickBot="1">
      <c r="A107" s="44">
        <v>32</v>
      </c>
      <c r="B107" s="71" t="s">
        <v>52</v>
      </c>
      <c r="C107" s="46"/>
      <c r="D107" s="57"/>
      <c r="E107" s="57"/>
      <c r="F107" s="57"/>
      <c r="G107" s="57">
        <v>15</v>
      </c>
      <c r="H107" s="51"/>
      <c r="I107" s="51"/>
      <c r="J107" s="51"/>
      <c r="K107" s="51"/>
      <c r="L107" s="51"/>
      <c r="M107" s="51"/>
      <c r="N107" s="52"/>
      <c r="O107" s="46">
        <v>4</v>
      </c>
      <c r="P107" s="52">
        <v>2</v>
      </c>
      <c r="Q107" s="46"/>
      <c r="R107" s="52"/>
      <c r="S107" s="46">
        <v>113</v>
      </c>
      <c r="T107" s="52"/>
      <c r="U107" s="46"/>
      <c r="V107" s="46"/>
      <c r="W107" s="46"/>
      <c r="X107" s="52"/>
      <c r="Y107" s="46"/>
      <c r="Z107" s="46"/>
      <c r="AA107" s="46"/>
      <c r="AB107" s="52"/>
      <c r="AC107" s="46"/>
      <c r="AD107" s="52"/>
      <c r="AE107" s="46"/>
    </row>
    <row r="108" spans="1:31" ht="47.25" thickBot="1">
      <c r="A108" s="44">
        <v>102</v>
      </c>
      <c r="B108" s="45" t="s">
        <v>236</v>
      </c>
      <c r="C108" s="46"/>
      <c r="D108" s="57"/>
      <c r="E108" s="57"/>
      <c r="F108" s="57"/>
      <c r="G108" s="57"/>
      <c r="H108" s="51"/>
      <c r="I108" s="51"/>
      <c r="J108" s="51"/>
      <c r="K108" s="51"/>
      <c r="L108" s="51"/>
      <c r="M108" s="51"/>
      <c r="N108" s="52"/>
      <c r="O108" s="46">
        <v>2</v>
      </c>
      <c r="P108" s="52"/>
      <c r="Q108" s="46"/>
      <c r="R108" s="52"/>
      <c r="S108" s="46">
        <v>29</v>
      </c>
      <c r="T108" s="52"/>
      <c r="U108" s="44"/>
      <c r="V108" s="46"/>
      <c r="W108" s="44"/>
      <c r="X108" s="52"/>
      <c r="Y108" s="46"/>
      <c r="Z108" s="46"/>
      <c r="AA108" s="52"/>
      <c r="AB108" s="44"/>
      <c r="AC108" s="46">
        <v>1</v>
      </c>
      <c r="AD108" s="52"/>
      <c r="AE108" s="46"/>
    </row>
    <row r="109" spans="1:31" ht="47.25" thickBot="1">
      <c r="A109" s="44">
        <v>16</v>
      </c>
      <c r="B109" s="45" t="s">
        <v>54</v>
      </c>
      <c r="C109" s="51">
        <v>20</v>
      </c>
      <c r="D109" s="57"/>
      <c r="E109" s="57"/>
      <c r="F109" s="57"/>
      <c r="G109" s="57"/>
      <c r="H109" s="51"/>
      <c r="I109" s="51"/>
      <c r="J109" s="51"/>
      <c r="K109" s="51"/>
      <c r="L109" s="51"/>
      <c r="M109" s="51"/>
      <c r="N109" s="52"/>
      <c r="O109" s="46"/>
      <c r="P109" s="46">
        <v>4</v>
      </c>
      <c r="Q109" s="46"/>
      <c r="R109" s="52"/>
      <c r="S109" s="46"/>
      <c r="T109" s="52"/>
      <c r="U109" s="44"/>
      <c r="V109" s="46"/>
      <c r="W109" s="44"/>
      <c r="X109" s="52"/>
      <c r="Y109" s="46"/>
      <c r="Z109" s="46"/>
      <c r="AA109" s="52"/>
      <c r="AB109" s="44"/>
      <c r="AC109" s="46"/>
      <c r="AD109" s="52"/>
      <c r="AE109" s="46"/>
    </row>
    <row r="110" spans="1:31" ht="47.25" thickBot="1">
      <c r="A110" s="44"/>
      <c r="B110" s="45" t="s">
        <v>8</v>
      </c>
      <c r="C110" s="46">
        <f>SUM(C107+C108+C109)</f>
        <v>20</v>
      </c>
      <c r="D110" s="46">
        <f aca="true" t="shared" si="21" ref="D110:AE110">SUM(D107+D108+D109)</f>
        <v>0</v>
      </c>
      <c r="E110" s="46">
        <f t="shared" si="21"/>
        <v>0</v>
      </c>
      <c r="F110" s="46">
        <f t="shared" si="21"/>
        <v>0</v>
      </c>
      <c r="G110" s="46">
        <f t="shared" si="21"/>
        <v>15</v>
      </c>
      <c r="H110" s="46">
        <f t="shared" si="21"/>
        <v>0</v>
      </c>
      <c r="I110" s="46">
        <f t="shared" si="21"/>
        <v>0</v>
      </c>
      <c r="J110" s="46">
        <f t="shared" si="21"/>
        <v>0</v>
      </c>
      <c r="K110" s="46">
        <f t="shared" si="21"/>
        <v>0</v>
      </c>
      <c r="L110" s="46">
        <f t="shared" si="21"/>
        <v>0</v>
      </c>
      <c r="M110" s="46">
        <f t="shared" si="21"/>
        <v>0</v>
      </c>
      <c r="N110" s="46">
        <f t="shared" si="21"/>
        <v>0</v>
      </c>
      <c r="O110" s="46">
        <f t="shared" si="21"/>
        <v>6</v>
      </c>
      <c r="P110" s="46">
        <f t="shared" si="21"/>
        <v>6</v>
      </c>
      <c r="Q110" s="46">
        <f t="shared" si="21"/>
        <v>0</v>
      </c>
      <c r="R110" s="46">
        <f t="shared" si="21"/>
        <v>0</v>
      </c>
      <c r="S110" s="46">
        <f t="shared" si="21"/>
        <v>142</v>
      </c>
      <c r="T110" s="46">
        <f t="shared" si="21"/>
        <v>0</v>
      </c>
      <c r="U110" s="46">
        <f t="shared" si="21"/>
        <v>0</v>
      </c>
      <c r="V110" s="46">
        <f t="shared" si="21"/>
        <v>0</v>
      </c>
      <c r="W110" s="46">
        <f t="shared" si="21"/>
        <v>0</v>
      </c>
      <c r="X110" s="46">
        <f t="shared" si="21"/>
        <v>0</v>
      </c>
      <c r="Y110" s="46">
        <f t="shared" si="21"/>
        <v>0</v>
      </c>
      <c r="Z110" s="46">
        <f t="shared" si="21"/>
        <v>0</v>
      </c>
      <c r="AA110" s="46">
        <f t="shared" si="21"/>
        <v>0</v>
      </c>
      <c r="AB110" s="46">
        <f t="shared" si="21"/>
        <v>0</v>
      </c>
      <c r="AC110" s="46">
        <f t="shared" si="21"/>
        <v>1</v>
      </c>
      <c r="AD110" s="46">
        <f t="shared" si="21"/>
        <v>0</v>
      </c>
      <c r="AE110" s="46">
        <f t="shared" si="21"/>
        <v>0</v>
      </c>
    </row>
    <row r="111" spans="1:31" ht="47.25" thickBot="1">
      <c r="A111" s="156" t="s">
        <v>107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57"/>
    </row>
    <row r="112" spans="1:31" ht="47.25" thickBot="1">
      <c r="A112" s="44" t="s">
        <v>45</v>
      </c>
      <c r="B112" s="48" t="s">
        <v>108</v>
      </c>
      <c r="C112" s="46"/>
      <c r="D112" s="51"/>
      <c r="E112" s="51"/>
      <c r="F112" s="51"/>
      <c r="G112" s="51"/>
      <c r="H112" s="51"/>
      <c r="I112" s="51"/>
      <c r="J112" s="51"/>
      <c r="K112" s="51">
        <v>90</v>
      </c>
      <c r="L112" s="51"/>
      <c r="M112" s="51"/>
      <c r="N112" s="52"/>
      <c r="O112" s="46"/>
      <c r="P112" s="52"/>
      <c r="Q112" s="46"/>
      <c r="R112" s="52"/>
      <c r="S112" s="46"/>
      <c r="T112" s="52"/>
      <c r="U112" s="46"/>
      <c r="V112" s="46"/>
      <c r="W112" s="52"/>
      <c r="X112" s="46"/>
      <c r="Y112" s="46"/>
      <c r="Z112" s="52"/>
      <c r="AA112" s="46"/>
      <c r="AB112" s="52"/>
      <c r="AC112" s="46"/>
      <c r="AD112" s="46"/>
      <c r="AE112" s="51"/>
    </row>
    <row r="113" spans="1:31" ht="47.25" thickBot="1">
      <c r="A113" s="44" t="s">
        <v>45</v>
      </c>
      <c r="B113" s="45" t="s">
        <v>127</v>
      </c>
      <c r="C113" s="46"/>
      <c r="D113" s="51"/>
      <c r="E113" s="51"/>
      <c r="F113" s="51"/>
      <c r="G113" s="51"/>
      <c r="H113" s="51"/>
      <c r="I113" s="51"/>
      <c r="J113" s="51"/>
      <c r="K113" s="51"/>
      <c r="L113" s="51">
        <v>100</v>
      </c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7"/>
    </row>
    <row r="114" spans="1:31" ht="47.25" thickBot="1">
      <c r="A114" s="44"/>
      <c r="B114" s="45" t="s">
        <v>37</v>
      </c>
      <c r="C114" s="46">
        <f>SUM(C112:C113)</f>
        <v>0</v>
      </c>
      <c r="D114" s="46">
        <f aca="true" t="shared" si="22" ref="D114:O114">SUM(D112:D113)</f>
        <v>0</v>
      </c>
      <c r="E114" s="46">
        <f t="shared" si="22"/>
        <v>0</v>
      </c>
      <c r="F114" s="46">
        <f t="shared" si="22"/>
        <v>0</v>
      </c>
      <c r="G114" s="46">
        <f t="shared" si="22"/>
        <v>0</v>
      </c>
      <c r="H114" s="46">
        <f t="shared" si="22"/>
        <v>0</v>
      </c>
      <c r="I114" s="46">
        <f t="shared" si="22"/>
        <v>0</v>
      </c>
      <c r="J114" s="46">
        <f t="shared" si="22"/>
        <v>0</v>
      </c>
      <c r="K114" s="46">
        <f t="shared" si="22"/>
        <v>90</v>
      </c>
      <c r="L114" s="46">
        <f t="shared" si="22"/>
        <v>100</v>
      </c>
      <c r="M114" s="46">
        <f t="shared" si="22"/>
        <v>0</v>
      </c>
      <c r="N114" s="46">
        <f t="shared" si="22"/>
        <v>0</v>
      </c>
      <c r="O114" s="46">
        <f t="shared" si="22"/>
        <v>0</v>
      </c>
      <c r="P114" s="51">
        <f aca="true" t="shared" si="23" ref="P114:AD114">SUM(P112)</f>
        <v>0</v>
      </c>
      <c r="Q114" s="51">
        <f t="shared" si="23"/>
        <v>0</v>
      </c>
      <c r="R114" s="51">
        <f t="shared" si="23"/>
        <v>0</v>
      </c>
      <c r="S114" s="51">
        <f t="shared" si="23"/>
        <v>0</v>
      </c>
      <c r="T114" s="51">
        <f t="shared" si="23"/>
        <v>0</v>
      </c>
      <c r="U114" s="51">
        <f t="shared" si="23"/>
        <v>0</v>
      </c>
      <c r="V114" s="51">
        <f t="shared" si="23"/>
        <v>0</v>
      </c>
      <c r="W114" s="51">
        <f t="shared" si="23"/>
        <v>0</v>
      </c>
      <c r="X114" s="51">
        <f t="shared" si="23"/>
        <v>0</v>
      </c>
      <c r="Y114" s="51">
        <f t="shared" si="23"/>
        <v>0</v>
      </c>
      <c r="Z114" s="51">
        <f t="shared" si="23"/>
        <v>0</v>
      </c>
      <c r="AA114" s="51">
        <f t="shared" si="23"/>
        <v>0</v>
      </c>
      <c r="AB114" s="51">
        <f t="shared" si="23"/>
        <v>0</v>
      </c>
      <c r="AC114" s="51">
        <f t="shared" si="23"/>
        <v>0</v>
      </c>
      <c r="AD114" s="51">
        <f t="shared" si="23"/>
        <v>0</v>
      </c>
      <c r="AE114" s="51">
        <f>SUM(AE112)</f>
        <v>0</v>
      </c>
    </row>
    <row r="115" spans="1:31" ht="47.25" thickBot="1">
      <c r="A115" s="156" t="s">
        <v>40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57"/>
    </row>
    <row r="116" spans="1:31" ht="93.75" thickBot="1">
      <c r="A116" s="46">
        <v>93</v>
      </c>
      <c r="B116" s="45" t="s">
        <v>208</v>
      </c>
      <c r="C116" s="44"/>
      <c r="D116" s="51"/>
      <c r="E116" s="51"/>
      <c r="F116" s="51"/>
      <c r="G116" s="51"/>
      <c r="H116" s="51"/>
      <c r="I116" s="51"/>
      <c r="J116" s="51">
        <v>45</v>
      </c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</row>
    <row r="117" spans="1:31" ht="93.75" thickBot="1">
      <c r="A117" s="44">
        <v>5</v>
      </c>
      <c r="B117" s="45" t="s">
        <v>63</v>
      </c>
      <c r="C117" s="46"/>
      <c r="D117" s="51"/>
      <c r="E117" s="51"/>
      <c r="F117" s="51"/>
      <c r="G117" s="51"/>
      <c r="H117" s="51"/>
      <c r="I117" s="51">
        <v>16</v>
      </c>
      <c r="J117" s="51">
        <v>66</v>
      </c>
      <c r="K117" s="51"/>
      <c r="L117" s="51"/>
      <c r="M117" s="51"/>
      <c r="N117" s="52"/>
      <c r="O117" s="44">
        <v>2</v>
      </c>
      <c r="P117" s="52">
        <v>3</v>
      </c>
      <c r="Q117" s="44"/>
      <c r="R117" s="52"/>
      <c r="S117" s="44"/>
      <c r="T117" s="52"/>
      <c r="U117" s="44"/>
      <c r="V117" s="44">
        <v>13</v>
      </c>
      <c r="W117" s="52"/>
      <c r="X117" s="44"/>
      <c r="Y117" s="46">
        <v>6</v>
      </c>
      <c r="Z117" s="52"/>
      <c r="AA117" s="44"/>
      <c r="AB117" s="44"/>
      <c r="AC117" s="52"/>
      <c r="AD117" s="44"/>
      <c r="AE117" s="51"/>
    </row>
    <row r="118" spans="1:31" ht="47.25" thickBot="1">
      <c r="A118" s="44">
        <v>35</v>
      </c>
      <c r="B118" s="45" t="s">
        <v>42</v>
      </c>
      <c r="C118" s="46"/>
      <c r="D118" s="51"/>
      <c r="E118" s="51">
        <v>2</v>
      </c>
      <c r="F118" s="51"/>
      <c r="G118" s="51"/>
      <c r="H118" s="51"/>
      <c r="I118" s="51"/>
      <c r="J118" s="51">
        <v>15</v>
      </c>
      <c r="K118" s="51"/>
      <c r="L118" s="51"/>
      <c r="M118" s="51"/>
      <c r="N118" s="52"/>
      <c r="O118" s="44"/>
      <c r="P118" s="52"/>
      <c r="Q118" s="44">
        <v>3</v>
      </c>
      <c r="R118" s="52"/>
      <c r="S118" s="44"/>
      <c r="T118" s="52"/>
      <c r="U118" s="44"/>
      <c r="V118" s="44">
        <v>83</v>
      </c>
      <c r="W118" s="52"/>
      <c r="X118" s="44"/>
      <c r="Y118" s="44"/>
      <c r="Z118" s="52"/>
      <c r="AA118" s="44"/>
      <c r="AB118" s="44"/>
      <c r="AC118" s="52"/>
      <c r="AD118" s="66"/>
      <c r="AE118" s="44"/>
    </row>
    <row r="119" spans="1:31" ht="93.75" thickBot="1">
      <c r="A119" s="44">
        <v>30</v>
      </c>
      <c r="B119" s="45" t="s">
        <v>136</v>
      </c>
      <c r="C119" s="46"/>
      <c r="D119" s="51"/>
      <c r="E119" s="51"/>
      <c r="F119" s="51"/>
      <c r="G119" s="51"/>
      <c r="H119" s="51">
        <v>29</v>
      </c>
      <c r="I119" s="51"/>
      <c r="J119" s="51">
        <v>27</v>
      </c>
      <c r="K119" s="51"/>
      <c r="L119" s="51"/>
      <c r="M119" s="51"/>
      <c r="N119" s="51"/>
      <c r="O119" s="51"/>
      <c r="P119" s="51">
        <v>5</v>
      </c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</row>
    <row r="120" spans="1:31" ht="47.25" thickBot="1">
      <c r="A120" s="44">
        <v>20</v>
      </c>
      <c r="B120" s="45" t="s">
        <v>43</v>
      </c>
      <c r="C120" s="46"/>
      <c r="D120" s="57"/>
      <c r="E120" s="57"/>
      <c r="F120" s="57">
        <v>5.6</v>
      </c>
      <c r="G120" s="57"/>
      <c r="H120" s="51"/>
      <c r="I120" s="51"/>
      <c r="J120" s="51"/>
      <c r="K120" s="51"/>
      <c r="L120" s="51">
        <v>1.3</v>
      </c>
      <c r="M120" s="51"/>
      <c r="N120" s="52"/>
      <c r="O120" s="46">
        <v>11</v>
      </c>
      <c r="P120" s="52"/>
      <c r="Q120" s="46"/>
      <c r="R120" s="52"/>
      <c r="S120" s="46"/>
      <c r="T120" s="52"/>
      <c r="U120" s="44"/>
      <c r="V120" s="46"/>
      <c r="W120" s="52"/>
      <c r="X120" s="44"/>
      <c r="Y120" s="46"/>
      <c r="Z120" s="46"/>
      <c r="AA120" s="52"/>
      <c r="AB120" s="44"/>
      <c r="AC120" s="46"/>
      <c r="AD120" s="52"/>
      <c r="AE120" s="46"/>
    </row>
    <row r="121" spans="1:31" ht="47.25" thickBot="1">
      <c r="A121" s="44" t="s">
        <v>45</v>
      </c>
      <c r="B121" s="45" t="s">
        <v>114</v>
      </c>
      <c r="C121" s="51">
        <v>25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2"/>
      <c r="X121" s="44"/>
      <c r="Y121" s="51"/>
      <c r="Z121" s="51"/>
      <c r="AA121" s="51"/>
      <c r="AB121" s="51"/>
      <c r="AC121" s="51"/>
      <c r="AD121" s="51"/>
      <c r="AE121" s="51"/>
    </row>
    <row r="122" spans="1:31" ht="47.25" thickBot="1">
      <c r="A122" s="44" t="s">
        <v>45</v>
      </c>
      <c r="B122" s="45" t="s">
        <v>144</v>
      </c>
      <c r="C122" s="46"/>
      <c r="D122" s="51">
        <v>40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2"/>
      <c r="X122" s="44"/>
      <c r="Y122" s="51"/>
      <c r="Z122" s="51"/>
      <c r="AA122" s="51"/>
      <c r="AB122" s="51"/>
      <c r="AC122" s="51"/>
      <c r="AD122" s="51"/>
      <c r="AE122" s="51"/>
    </row>
    <row r="123" spans="1:31" ht="47.25" thickBot="1">
      <c r="A123" s="44"/>
      <c r="B123" s="45" t="s">
        <v>8</v>
      </c>
      <c r="C123" s="46">
        <f>SUM(C116:C122)</f>
        <v>25</v>
      </c>
      <c r="D123" s="46">
        <f aca="true" t="shared" si="24" ref="D123:AE123">SUM(D116:D122)</f>
        <v>40</v>
      </c>
      <c r="E123" s="46">
        <f t="shared" si="24"/>
        <v>2</v>
      </c>
      <c r="F123" s="46">
        <f t="shared" si="24"/>
        <v>5.6</v>
      </c>
      <c r="G123" s="46">
        <f t="shared" si="24"/>
        <v>0</v>
      </c>
      <c r="H123" s="46">
        <f t="shared" si="24"/>
        <v>29</v>
      </c>
      <c r="I123" s="46">
        <f t="shared" si="24"/>
        <v>16</v>
      </c>
      <c r="J123" s="46">
        <f t="shared" si="24"/>
        <v>153</v>
      </c>
      <c r="K123" s="46">
        <f t="shared" si="24"/>
        <v>0</v>
      </c>
      <c r="L123" s="46">
        <f t="shared" si="24"/>
        <v>1.3</v>
      </c>
      <c r="M123" s="46">
        <f t="shared" si="24"/>
        <v>0</v>
      </c>
      <c r="N123" s="46">
        <f t="shared" si="24"/>
        <v>0</v>
      </c>
      <c r="O123" s="46">
        <f t="shared" si="24"/>
        <v>13</v>
      </c>
      <c r="P123" s="46">
        <f t="shared" si="24"/>
        <v>8</v>
      </c>
      <c r="Q123" s="46">
        <f t="shared" si="24"/>
        <v>3</v>
      </c>
      <c r="R123" s="46">
        <f t="shared" si="24"/>
        <v>0</v>
      </c>
      <c r="S123" s="46">
        <f t="shared" si="24"/>
        <v>0</v>
      </c>
      <c r="T123" s="46">
        <f t="shared" si="24"/>
        <v>0</v>
      </c>
      <c r="U123" s="46">
        <f t="shared" si="24"/>
        <v>0</v>
      </c>
      <c r="V123" s="46">
        <f t="shared" si="24"/>
        <v>96</v>
      </c>
      <c r="W123" s="46">
        <f t="shared" si="24"/>
        <v>0</v>
      </c>
      <c r="X123" s="46">
        <f t="shared" si="24"/>
        <v>0</v>
      </c>
      <c r="Y123" s="46">
        <f t="shared" si="24"/>
        <v>6</v>
      </c>
      <c r="Z123" s="46">
        <f t="shared" si="24"/>
        <v>0</v>
      </c>
      <c r="AA123" s="46">
        <f t="shared" si="24"/>
        <v>0</v>
      </c>
      <c r="AB123" s="46">
        <f t="shared" si="24"/>
        <v>0</v>
      </c>
      <c r="AC123" s="46">
        <f t="shared" si="24"/>
        <v>0</v>
      </c>
      <c r="AD123" s="46">
        <f t="shared" si="24"/>
        <v>0</v>
      </c>
      <c r="AE123" s="46">
        <f t="shared" si="24"/>
        <v>0</v>
      </c>
    </row>
    <row r="124" spans="1:31" ht="46.5" customHeight="1" thickBot="1">
      <c r="A124" s="156" t="s">
        <v>207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57"/>
    </row>
    <row r="125" spans="1:31" ht="46.5" customHeight="1" thickBot="1">
      <c r="A125" s="44">
        <v>90</v>
      </c>
      <c r="B125" s="45" t="s">
        <v>197</v>
      </c>
      <c r="C125" s="46"/>
      <c r="D125" s="51"/>
      <c r="E125" s="51"/>
      <c r="F125" s="51"/>
      <c r="G125" s="51"/>
      <c r="H125" s="51"/>
      <c r="I125" s="51">
        <v>72</v>
      </c>
      <c r="J125" s="51">
        <v>66</v>
      </c>
      <c r="K125" s="51"/>
      <c r="L125" s="51"/>
      <c r="M125" s="51"/>
      <c r="N125" s="44"/>
      <c r="O125" s="52"/>
      <c r="P125" s="44">
        <v>6</v>
      </c>
      <c r="Q125" s="52"/>
      <c r="R125" s="44"/>
      <c r="S125" s="52"/>
      <c r="T125" s="66"/>
      <c r="U125" s="44"/>
      <c r="V125" s="44"/>
      <c r="W125" s="52"/>
      <c r="X125" s="44"/>
      <c r="Y125" s="52"/>
      <c r="Z125" s="44"/>
      <c r="AA125" s="44"/>
      <c r="AB125" s="52"/>
      <c r="AC125" s="44"/>
      <c r="AD125" s="44"/>
      <c r="AE125" s="51"/>
    </row>
    <row r="126" spans="1:31" ht="46.5" customHeight="1" thickBot="1">
      <c r="A126" s="49">
        <v>76</v>
      </c>
      <c r="B126" s="50" t="s">
        <v>61</v>
      </c>
      <c r="C126" s="46"/>
      <c r="D126" s="57"/>
      <c r="E126" s="57"/>
      <c r="F126" s="57"/>
      <c r="G126" s="57"/>
      <c r="H126" s="51"/>
      <c r="I126" s="51"/>
      <c r="J126" s="51"/>
      <c r="K126" s="51"/>
      <c r="L126" s="51"/>
      <c r="M126" s="51"/>
      <c r="N126" s="51"/>
      <c r="O126" s="46">
        <v>9</v>
      </c>
      <c r="P126" s="51"/>
      <c r="Q126" s="51"/>
      <c r="R126" s="51"/>
      <c r="S126" s="51">
        <v>42</v>
      </c>
      <c r="T126" s="51"/>
      <c r="U126" s="51"/>
      <c r="V126" s="51"/>
      <c r="W126" s="51"/>
      <c r="X126" s="51"/>
      <c r="Y126" s="51"/>
      <c r="Z126" s="51"/>
      <c r="AA126" s="46">
        <v>0.5</v>
      </c>
      <c r="AB126" s="51"/>
      <c r="AC126" s="51"/>
      <c r="AD126" s="51"/>
      <c r="AE126" s="51"/>
    </row>
    <row r="127" spans="1:31" ht="46.5" customHeight="1" thickBot="1">
      <c r="A127" s="44" t="s">
        <v>45</v>
      </c>
      <c r="B127" s="45" t="s">
        <v>114</v>
      </c>
      <c r="C127" s="51">
        <v>20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2"/>
      <c r="U127" s="44"/>
      <c r="V127" s="51"/>
      <c r="W127" s="52"/>
      <c r="X127" s="44"/>
      <c r="Y127" s="51"/>
      <c r="Z127" s="51"/>
      <c r="AA127" s="51"/>
      <c r="AB127" s="51"/>
      <c r="AC127" s="51"/>
      <c r="AD127" s="51"/>
      <c r="AE127" s="51"/>
    </row>
    <row r="128" spans="1:31" ht="46.5" customHeight="1" thickBot="1">
      <c r="A128" s="44">
        <v>21</v>
      </c>
      <c r="B128" s="73" t="s">
        <v>38</v>
      </c>
      <c r="C128" s="44"/>
      <c r="D128" s="51"/>
      <c r="E128" s="44"/>
      <c r="F128" s="44"/>
      <c r="G128" s="44"/>
      <c r="H128" s="51"/>
      <c r="I128" s="51"/>
      <c r="J128" s="51"/>
      <c r="K128" s="51"/>
      <c r="L128" s="51"/>
      <c r="M128" s="51"/>
      <c r="N128" s="52"/>
      <c r="O128" s="46"/>
      <c r="P128" s="52"/>
      <c r="Q128" s="46"/>
      <c r="R128" s="52"/>
      <c r="S128" s="46">
        <v>145</v>
      </c>
      <c r="T128" s="52"/>
      <c r="U128" s="46"/>
      <c r="V128" s="46"/>
      <c r="W128" s="52"/>
      <c r="X128" s="46"/>
      <c r="Y128" s="46"/>
      <c r="Z128" s="52"/>
      <c r="AA128" s="46"/>
      <c r="AB128" s="46"/>
      <c r="AC128" s="52"/>
      <c r="AD128" s="46"/>
      <c r="AE128" s="51"/>
    </row>
    <row r="129" spans="1:31" ht="46.5" customHeight="1" thickBot="1">
      <c r="A129" s="44" t="s">
        <v>230</v>
      </c>
      <c r="B129" s="45" t="s">
        <v>229</v>
      </c>
      <c r="C129" s="46"/>
      <c r="D129" s="51"/>
      <c r="E129" s="51">
        <v>23.5</v>
      </c>
      <c r="F129" s="51"/>
      <c r="G129" s="51"/>
      <c r="H129" s="51"/>
      <c r="I129" s="51"/>
      <c r="J129" s="51"/>
      <c r="K129" s="51"/>
      <c r="L129" s="51"/>
      <c r="M129" s="51"/>
      <c r="N129" s="51"/>
      <c r="O129" s="51">
        <v>4</v>
      </c>
      <c r="P129" s="51">
        <v>9</v>
      </c>
      <c r="Q129" s="51">
        <v>0.2</v>
      </c>
      <c r="R129" s="51">
        <v>6</v>
      </c>
      <c r="S129" s="51"/>
      <c r="T129" s="51">
        <v>23</v>
      </c>
      <c r="U129" s="51"/>
      <c r="V129" s="51"/>
      <c r="W129" s="51"/>
      <c r="X129" s="51"/>
      <c r="Y129" s="51">
        <v>1.8</v>
      </c>
      <c r="Z129" s="51"/>
      <c r="AA129" s="51"/>
      <c r="AB129" s="51"/>
      <c r="AC129" s="51"/>
      <c r="AD129" s="51"/>
      <c r="AE129" s="46"/>
    </row>
    <row r="130" spans="1:31" ht="47.25" thickBot="1">
      <c r="A130" s="44"/>
      <c r="B130" s="45" t="s">
        <v>8</v>
      </c>
      <c r="C130" s="87">
        <f>SUM(C125:C129)</f>
        <v>20</v>
      </c>
      <c r="D130" s="87">
        <f aca="true" t="shared" si="25" ref="D130:AE130">SUM(D125:D129)</f>
        <v>0</v>
      </c>
      <c r="E130" s="87">
        <f t="shared" si="25"/>
        <v>23.5</v>
      </c>
      <c r="F130" s="87">
        <f t="shared" si="25"/>
        <v>0</v>
      </c>
      <c r="G130" s="87">
        <f t="shared" si="25"/>
        <v>0</v>
      </c>
      <c r="H130" s="87">
        <f t="shared" si="25"/>
        <v>0</v>
      </c>
      <c r="I130" s="87">
        <f t="shared" si="25"/>
        <v>72</v>
      </c>
      <c r="J130" s="87">
        <f t="shared" si="25"/>
        <v>66</v>
      </c>
      <c r="K130" s="87">
        <f t="shared" si="25"/>
        <v>0</v>
      </c>
      <c r="L130" s="87">
        <f t="shared" si="25"/>
        <v>0</v>
      </c>
      <c r="M130" s="87">
        <f t="shared" si="25"/>
        <v>0</v>
      </c>
      <c r="N130" s="87">
        <f t="shared" si="25"/>
        <v>0</v>
      </c>
      <c r="O130" s="87">
        <f t="shared" si="25"/>
        <v>13</v>
      </c>
      <c r="P130" s="87">
        <f t="shared" si="25"/>
        <v>15</v>
      </c>
      <c r="Q130" s="87">
        <f t="shared" si="25"/>
        <v>0.2</v>
      </c>
      <c r="R130" s="87">
        <f t="shared" si="25"/>
        <v>6</v>
      </c>
      <c r="S130" s="87">
        <f t="shared" si="25"/>
        <v>187</v>
      </c>
      <c r="T130" s="87">
        <f t="shared" si="25"/>
        <v>23</v>
      </c>
      <c r="U130" s="87">
        <f t="shared" si="25"/>
        <v>0</v>
      </c>
      <c r="V130" s="87">
        <f t="shared" si="25"/>
        <v>0</v>
      </c>
      <c r="W130" s="87">
        <f t="shared" si="25"/>
        <v>0</v>
      </c>
      <c r="X130" s="87">
        <f t="shared" si="25"/>
        <v>0</v>
      </c>
      <c r="Y130" s="87">
        <f t="shared" si="25"/>
        <v>1.8</v>
      </c>
      <c r="Z130" s="87">
        <f t="shared" si="25"/>
        <v>0</v>
      </c>
      <c r="AA130" s="87">
        <f t="shared" si="25"/>
        <v>0.5</v>
      </c>
      <c r="AB130" s="87">
        <f t="shared" si="25"/>
        <v>0</v>
      </c>
      <c r="AC130" s="87">
        <f t="shared" si="25"/>
        <v>0</v>
      </c>
      <c r="AD130" s="87">
        <f t="shared" si="25"/>
        <v>0</v>
      </c>
      <c r="AE130" s="87">
        <f t="shared" si="25"/>
        <v>0</v>
      </c>
    </row>
    <row r="131" spans="1:31" ht="93.75" thickBot="1">
      <c r="A131" s="95"/>
      <c r="B131" s="45" t="s">
        <v>145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>
        <v>4</v>
      </c>
      <c r="AE131" s="46"/>
    </row>
    <row r="132" spans="1:31" ht="47.25" thickBot="1">
      <c r="A132" s="44"/>
      <c r="B132" s="74" t="s">
        <v>12</v>
      </c>
      <c r="C132" s="46">
        <f aca="true" t="shared" si="26" ref="C132:AC132">SUM(C110+C114+C123+C130)</f>
        <v>65</v>
      </c>
      <c r="D132" s="46">
        <f t="shared" si="26"/>
        <v>40</v>
      </c>
      <c r="E132" s="46">
        <f t="shared" si="26"/>
        <v>25.5</v>
      </c>
      <c r="F132" s="46">
        <f t="shared" si="26"/>
        <v>5.6</v>
      </c>
      <c r="G132" s="46">
        <f t="shared" si="26"/>
        <v>15</v>
      </c>
      <c r="H132" s="46">
        <f t="shared" si="26"/>
        <v>29</v>
      </c>
      <c r="I132" s="46">
        <f t="shared" si="26"/>
        <v>88</v>
      </c>
      <c r="J132" s="46">
        <f t="shared" si="26"/>
        <v>219</v>
      </c>
      <c r="K132" s="46">
        <f t="shared" si="26"/>
        <v>90</v>
      </c>
      <c r="L132" s="46">
        <f t="shared" si="26"/>
        <v>101.3</v>
      </c>
      <c r="M132" s="46">
        <f t="shared" si="26"/>
        <v>0</v>
      </c>
      <c r="N132" s="46">
        <f t="shared" si="26"/>
        <v>0</v>
      </c>
      <c r="O132" s="46">
        <f t="shared" si="26"/>
        <v>32</v>
      </c>
      <c r="P132" s="46">
        <f t="shared" si="26"/>
        <v>29</v>
      </c>
      <c r="Q132" s="46">
        <f t="shared" si="26"/>
        <v>3.2</v>
      </c>
      <c r="R132" s="46">
        <f t="shared" si="26"/>
        <v>6</v>
      </c>
      <c r="S132" s="46">
        <f t="shared" si="26"/>
        <v>329</v>
      </c>
      <c r="T132" s="46">
        <f t="shared" si="26"/>
        <v>23</v>
      </c>
      <c r="U132" s="46">
        <f t="shared" si="26"/>
        <v>0</v>
      </c>
      <c r="V132" s="46">
        <f t="shared" si="26"/>
        <v>96</v>
      </c>
      <c r="W132" s="46">
        <f t="shared" si="26"/>
        <v>0</v>
      </c>
      <c r="X132" s="46">
        <f t="shared" si="26"/>
        <v>0</v>
      </c>
      <c r="Y132" s="46">
        <f t="shared" si="26"/>
        <v>7.8</v>
      </c>
      <c r="Z132" s="46">
        <f t="shared" si="26"/>
        <v>0</v>
      </c>
      <c r="AA132" s="46">
        <f t="shared" si="26"/>
        <v>0.5</v>
      </c>
      <c r="AB132" s="46">
        <f t="shared" si="26"/>
        <v>0</v>
      </c>
      <c r="AC132" s="46">
        <f t="shared" si="26"/>
        <v>1</v>
      </c>
      <c r="AD132" s="46">
        <v>4</v>
      </c>
      <c r="AE132" s="46">
        <f>SUM(AE110+AE114+AE123+AE130)</f>
        <v>0</v>
      </c>
    </row>
    <row r="133" spans="1:31" ht="46.5" customHeight="1" thickBot="1">
      <c r="A133" s="156" t="s">
        <v>259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57"/>
    </row>
    <row r="134" spans="1:31" ht="47.25" thickBot="1">
      <c r="A134" s="165" t="s">
        <v>19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7"/>
    </row>
    <row r="135" spans="1:31" ht="45.75" customHeight="1">
      <c r="A135" s="168" t="s">
        <v>39</v>
      </c>
      <c r="B135" s="170" t="s">
        <v>26</v>
      </c>
      <c r="C135" s="154" t="s">
        <v>114</v>
      </c>
      <c r="D135" s="154" t="s">
        <v>115</v>
      </c>
      <c r="E135" s="154" t="s">
        <v>116</v>
      </c>
      <c r="F135" s="154" t="s">
        <v>117</v>
      </c>
      <c r="G135" s="154" t="s">
        <v>109</v>
      </c>
      <c r="H135" s="154" t="s">
        <v>118</v>
      </c>
      <c r="I135" s="154" t="s">
        <v>246</v>
      </c>
      <c r="J135" s="154" t="s">
        <v>247</v>
      </c>
      <c r="K135" s="90"/>
      <c r="L135" s="154" t="s">
        <v>217</v>
      </c>
      <c r="M135" s="154" t="s">
        <v>121</v>
      </c>
      <c r="N135" s="154" t="s">
        <v>81</v>
      </c>
      <c r="O135" s="154" t="s">
        <v>82</v>
      </c>
      <c r="P135" s="154" t="s">
        <v>122</v>
      </c>
      <c r="Q135" s="154" t="s">
        <v>83</v>
      </c>
      <c r="R135" s="154" t="s">
        <v>123</v>
      </c>
      <c r="S135" s="154" t="s">
        <v>126</v>
      </c>
      <c r="T135" s="154" t="s">
        <v>143</v>
      </c>
      <c r="U135" s="90"/>
      <c r="V135" s="154" t="s">
        <v>248</v>
      </c>
      <c r="W135" s="154" t="s">
        <v>249</v>
      </c>
      <c r="X135" s="154" t="s">
        <v>250</v>
      </c>
      <c r="Y135" s="154" t="s">
        <v>84</v>
      </c>
      <c r="Z135" s="154" t="s">
        <v>85</v>
      </c>
      <c r="AA135" s="154" t="s">
        <v>89</v>
      </c>
      <c r="AB135" s="90"/>
      <c r="AC135" s="154" t="s">
        <v>124</v>
      </c>
      <c r="AD135" s="154" t="s">
        <v>86</v>
      </c>
      <c r="AE135" s="154" t="s">
        <v>125</v>
      </c>
    </row>
    <row r="136" spans="1:31" ht="344.25" thickBot="1">
      <c r="A136" s="169"/>
      <c r="B136" s="171"/>
      <c r="C136" s="155"/>
      <c r="D136" s="155"/>
      <c r="E136" s="155"/>
      <c r="F136" s="155"/>
      <c r="G136" s="155"/>
      <c r="H136" s="155"/>
      <c r="I136" s="155"/>
      <c r="J136" s="155"/>
      <c r="K136" s="91" t="s">
        <v>119</v>
      </c>
      <c r="L136" s="155"/>
      <c r="M136" s="155"/>
      <c r="N136" s="155"/>
      <c r="O136" s="155"/>
      <c r="P136" s="155"/>
      <c r="Q136" s="155"/>
      <c r="R136" s="155"/>
      <c r="S136" s="155"/>
      <c r="T136" s="155"/>
      <c r="U136" s="91" t="s">
        <v>111</v>
      </c>
      <c r="V136" s="155"/>
      <c r="W136" s="155"/>
      <c r="X136" s="155"/>
      <c r="Y136" s="155"/>
      <c r="Z136" s="155"/>
      <c r="AA136" s="155"/>
      <c r="AB136" s="91" t="s">
        <v>110</v>
      </c>
      <c r="AC136" s="155"/>
      <c r="AD136" s="155"/>
      <c r="AE136" s="155"/>
    </row>
    <row r="137" spans="1:32" ht="47.25" thickBot="1">
      <c r="A137" s="95">
        <v>1</v>
      </c>
      <c r="B137" s="68">
        <v>2</v>
      </c>
      <c r="C137" s="69" t="s">
        <v>112</v>
      </c>
      <c r="D137" s="70">
        <v>4</v>
      </c>
      <c r="E137" s="69">
        <v>5</v>
      </c>
      <c r="F137" s="69">
        <v>6</v>
      </c>
      <c r="G137" s="69">
        <v>7</v>
      </c>
      <c r="H137" s="69">
        <v>8</v>
      </c>
      <c r="I137" s="69" t="s">
        <v>113</v>
      </c>
      <c r="J137" s="70">
        <v>10</v>
      </c>
      <c r="K137" s="69">
        <v>11</v>
      </c>
      <c r="L137" s="69">
        <v>12</v>
      </c>
      <c r="M137" s="69">
        <v>13</v>
      </c>
      <c r="N137" s="69">
        <v>14</v>
      </c>
      <c r="O137" s="69">
        <v>15</v>
      </c>
      <c r="P137" s="94">
        <v>16</v>
      </c>
      <c r="Q137" s="69">
        <v>17</v>
      </c>
      <c r="R137" s="94">
        <v>18</v>
      </c>
      <c r="S137" s="69">
        <v>19</v>
      </c>
      <c r="T137" s="94">
        <v>20</v>
      </c>
      <c r="U137" s="94">
        <v>21</v>
      </c>
      <c r="V137" s="69">
        <v>22</v>
      </c>
      <c r="W137" s="69">
        <v>23</v>
      </c>
      <c r="X137" s="94">
        <v>24</v>
      </c>
      <c r="Y137" s="69">
        <v>25</v>
      </c>
      <c r="Z137" s="69">
        <v>26</v>
      </c>
      <c r="AA137" s="69">
        <v>27</v>
      </c>
      <c r="AB137" s="94">
        <v>28</v>
      </c>
      <c r="AC137" s="69">
        <v>29</v>
      </c>
      <c r="AD137" s="69">
        <v>30</v>
      </c>
      <c r="AE137" s="92">
        <v>31</v>
      </c>
      <c r="AF137" s="96"/>
    </row>
    <row r="138" spans="1:32" s="96" customFormat="1" ht="47.25" thickBot="1">
      <c r="A138" s="165" t="s">
        <v>7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7"/>
      <c r="AF138" s="81"/>
    </row>
    <row r="139" spans="1:31" ht="47.25" thickBot="1">
      <c r="A139" s="46">
        <v>37</v>
      </c>
      <c r="B139" s="48" t="s">
        <v>53</v>
      </c>
      <c r="C139" s="46"/>
      <c r="D139" s="57"/>
      <c r="E139" s="57"/>
      <c r="F139" s="57"/>
      <c r="G139" s="57"/>
      <c r="H139" s="51"/>
      <c r="I139" s="51"/>
      <c r="J139" s="51"/>
      <c r="K139" s="51"/>
      <c r="L139" s="51"/>
      <c r="M139" s="51"/>
      <c r="N139" s="51"/>
      <c r="O139" s="51"/>
      <c r="P139" s="51">
        <v>4</v>
      </c>
      <c r="Q139" s="51"/>
      <c r="R139" s="51">
        <v>50</v>
      </c>
      <c r="S139" s="51">
        <v>30</v>
      </c>
      <c r="T139" s="52"/>
      <c r="U139" s="46"/>
      <c r="V139" s="52"/>
      <c r="W139" s="46"/>
      <c r="X139" s="51"/>
      <c r="Y139" s="51"/>
      <c r="Z139" s="51"/>
      <c r="AA139" s="51"/>
      <c r="AB139" s="51"/>
      <c r="AC139" s="51"/>
      <c r="AD139" s="51"/>
      <c r="AE139" s="51"/>
    </row>
    <row r="140" spans="1:31" ht="93.75" thickBot="1">
      <c r="A140" s="46">
        <v>38</v>
      </c>
      <c r="B140" s="45" t="s">
        <v>137</v>
      </c>
      <c r="C140" s="46"/>
      <c r="D140" s="51"/>
      <c r="E140" s="51"/>
      <c r="F140" s="51"/>
      <c r="G140" s="51"/>
      <c r="H140" s="51"/>
      <c r="I140" s="57"/>
      <c r="J140" s="57">
        <v>45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</row>
    <row r="141" spans="1:31" ht="47.25" thickBot="1">
      <c r="A141" s="44">
        <v>2</v>
      </c>
      <c r="B141" s="45" t="s">
        <v>36</v>
      </c>
      <c r="C141" s="46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44"/>
      <c r="O141" s="46">
        <v>9</v>
      </c>
      <c r="P141" s="44"/>
      <c r="Q141" s="52"/>
      <c r="R141" s="44"/>
      <c r="S141" s="52">
        <v>70</v>
      </c>
      <c r="T141" s="44"/>
      <c r="U141" s="52"/>
      <c r="V141" s="44"/>
      <c r="W141" s="52"/>
      <c r="X141" s="44"/>
      <c r="Y141" s="52"/>
      <c r="Z141" s="44"/>
      <c r="AA141" s="52"/>
      <c r="AB141" s="44">
        <v>2</v>
      </c>
      <c r="AC141" s="44"/>
      <c r="AD141" s="44"/>
      <c r="AE141" s="46"/>
    </row>
    <row r="142" spans="1:31" ht="47.25" thickBot="1">
      <c r="A142" s="44">
        <v>3</v>
      </c>
      <c r="B142" s="45" t="s">
        <v>58</v>
      </c>
      <c r="C142" s="51">
        <v>20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44"/>
      <c r="O142" s="52"/>
      <c r="P142" s="46">
        <v>4</v>
      </c>
      <c r="Q142" s="52"/>
      <c r="R142" s="44"/>
      <c r="S142" s="52"/>
      <c r="T142" s="66"/>
      <c r="U142" s="44"/>
      <c r="V142" s="46"/>
      <c r="W142" s="52"/>
      <c r="X142" s="44"/>
      <c r="Y142" s="52"/>
      <c r="Z142" s="44">
        <v>9.6</v>
      </c>
      <c r="AA142" s="52"/>
      <c r="AB142" s="44"/>
      <c r="AC142" s="51"/>
      <c r="AD142" s="66"/>
      <c r="AE142" s="44"/>
    </row>
    <row r="143" spans="1:31" ht="47.25" thickBot="1">
      <c r="A143" s="44"/>
      <c r="B143" s="45" t="s">
        <v>8</v>
      </c>
      <c r="C143" s="46">
        <f aca="true" t="shared" si="27" ref="C143:AE143">SUM(C139+C141+C142)</f>
        <v>20</v>
      </c>
      <c r="D143" s="46">
        <f t="shared" si="27"/>
        <v>0</v>
      </c>
      <c r="E143" s="46">
        <f t="shared" si="27"/>
        <v>0</v>
      </c>
      <c r="F143" s="46">
        <f t="shared" si="27"/>
        <v>0</v>
      </c>
      <c r="G143" s="46">
        <f t="shared" si="27"/>
        <v>0</v>
      </c>
      <c r="H143" s="46">
        <f t="shared" si="27"/>
        <v>0</v>
      </c>
      <c r="I143" s="46">
        <f t="shared" si="27"/>
        <v>0</v>
      </c>
      <c r="J143" s="46">
        <f t="shared" si="27"/>
        <v>0</v>
      </c>
      <c r="K143" s="46">
        <f t="shared" si="27"/>
        <v>0</v>
      </c>
      <c r="L143" s="46">
        <f t="shared" si="27"/>
        <v>0</v>
      </c>
      <c r="M143" s="46">
        <f t="shared" si="27"/>
        <v>0</v>
      </c>
      <c r="N143" s="46">
        <f t="shared" si="27"/>
        <v>0</v>
      </c>
      <c r="O143" s="46">
        <f t="shared" si="27"/>
        <v>9</v>
      </c>
      <c r="P143" s="46">
        <f t="shared" si="27"/>
        <v>8</v>
      </c>
      <c r="Q143" s="46">
        <f t="shared" si="27"/>
        <v>0</v>
      </c>
      <c r="R143" s="46">
        <f t="shared" si="27"/>
        <v>50</v>
      </c>
      <c r="S143" s="46">
        <f t="shared" si="27"/>
        <v>100</v>
      </c>
      <c r="T143" s="46">
        <f t="shared" si="27"/>
        <v>0</v>
      </c>
      <c r="U143" s="46">
        <f t="shared" si="27"/>
        <v>0</v>
      </c>
      <c r="V143" s="46">
        <f t="shared" si="27"/>
        <v>0</v>
      </c>
      <c r="W143" s="46">
        <f t="shared" si="27"/>
        <v>0</v>
      </c>
      <c r="X143" s="46">
        <f t="shared" si="27"/>
        <v>0</v>
      </c>
      <c r="Y143" s="46">
        <f t="shared" si="27"/>
        <v>0</v>
      </c>
      <c r="Z143" s="46">
        <f t="shared" si="27"/>
        <v>9.6</v>
      </c>
      <c r="AA143" s="46">
        <f t="shared" si="27"/>
        <v>0</v>
      </c>
      <c r="AB143" s="46">
        <f t="shared" si="27"/>
        <v>2</v>
      </c>
      <c r="AC143" s="46">
        <f t="shared" si="27"/>
        <v>0</v>
      </c>
      <c r="AD143" s="46">
        <f t="shared" si="27"/>
        <v>0</v>
      </c>
      <c r="AE143" s="46">
        <f t="shared" si="27"/>
        <v>0</v>
      </c>
    </row>
    <row r="144" spans="1:31" ht="47.25" thickBot="1">
      <c r="A144" s="156" t="s">
        <v>107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57"/>
    </row>
    <row r="145" spans="1:31" ht="47.25" thickBot="1">
      <c r="A145" s="44" t="s">
        <v>45</v>
      </c>
      <c r="B145" s="48" t="s">
        <v>108</v>
      </c>
      <c r="C145" s="46"/>
      <c r="D145" s="51"/>
      <c r="E145" s="51"/>
      <c r="F145" s="51"/>
      <c r="G145" s="51"/>
      <c r="H145" s="51"/>
      <c r="I145" s="51"/>
      <c r="J145" s="51"/>
      <c r="K145" s="51">
        <v>90</v>
      </c>
      <c r="L145" s="51"/>
      <c r="M145" s="51"/>
      <c r="N145" s="52"/>
      <c r="O145" s="46"/>
      <c r="P145" s="52"/>
      <c r="Q145" s="46"/>
      <c r="R145" s="52"/>
      <c r="S145" s="46"/>
      <c r="T145" s="52"/>
      <c r="U145" s="46"/>
      <c r="V145" s="46"/>
      <c r="W145" s="52"/>
      <c r="X145" s="46"/>
      <c r="Y145" s="46"/>
      <c r="Z145" s="52"/>
      <c r="AA145" s="46"/>
      <c r="AB145" s="52"/>
      <c r="AC145" s="46"/>
      <c r="AD145" s="46"/>
      <c r="AE145" s="51"/>
    </row>
    <row r="146" spans="1:31" ht="47.25" thickBot="1">
      <c r="A146" s="44" t="s">
        <v>45</v>
      </c>
      <c r="B146" s="45" t="s">
        <v>78</v>
      </c>
      <c r="C146" s="46"/>
      <c r="D146" s="57"/>
      <c r="E146" s="57"/>
      <c r="F146" s="57"/>
      <c r="G146" s="57"/>
      <c r="H146" s="51"/>
      <c r="I146" s="51"/>
      <c r="J146" s="51"/>
      <c r="K146" s="51"/>
      <c r="L146" s="51">
        <v>100</v>
      </c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46"/>
      <c r="AB146" s="51"/>
      <c r="AC146" s="51"/>
      <c r="AD146" s="51"/>
      <c r="AE146" s="51"/>
    </row>
    <row r="147" spans="1:31" ht="47.25" thickBot="1">
      <c r="A147" s="44"/>
      <c r="B147" s="45" t="s">
        <v>37</v>
      </c>
      <c r="C147" s="46">
        <f>SUM(C145:C146)</f>
        <v>0</v>
      </c>
      <c r="D147" s="46">
        <f aca="true" t="shared" si="28" ref="D147:N147">SUM(D145:D146)</f>
        <v>0</v>
      </c>
      <c r="E147" s="46">
        <f t="shared" si="28"/>
        <v>0</v>
      </c>
      <c r="F147" s="46">
        <f t="shared" si="28"/>
        <v>0</v>
      </c>
      <c r="G147" s="46">
        <f t="shared" si="28"/>
        <v>0</v>
      </c>
      <c r="H147" s="46">
        <f t="shared" si="28"/>
        <v>0</v>
      </c>
      <c r="I147" s="46">
        <f t="shared" si="28"/>
        <v>0</v>
      </c>
      <c r="J147" s="46">
        <f t="shared" si="28"/>
        <v>0</v>
      </c>
      <c r="K147" s="46">
        <f t="shared" si="28"/>
        <v>90</v>
      </c>
      <c r="L147" s="46">
        <f t="shared" si="28"/>
        <v>100</v>
      </c>
      <c r="M147" s="46">
        <f t="shared" si="28"/>
        <v>0</v>
      </c>
      <c r="N147" s="46">
        <f t="shared" si="28"/>
        <v>0</v>
      </c>
      <c r="O147" s="46">
        <f>SUM(O145)</f>
        <v>0</v>
      </c>
      <c r="P147" s="46">
        <f>SUM(P145)</f>
        <v>0</v>
      </c>
      <c r="Q147" s="51">
        <f aca="true" t="shared" si="29" ref="Q147:AE147">SUM(Q145)</f>
        <v>0</v>
      </c>
      <c r="R147" s="51">
        <f t="shared" si="29"/>
        <v>0</v>
      </c>
      <c r="S147" s="51">
        <f t="shared" si="29"/>
        <v>0</v>
      </c>
      <c r="T147" s="51">
        <f t="shared" si="29"/>
        <v>0</v>
      </c>
      <c r="U147" s="51">
        <f t="shared" si="29"/>
        <v>0</v>
      </c>
      <c r="V147" s="51">
        <f t="shared" si="29"/>
        <v>0</v>
      </c>
      <c r="W147" s="51">
        <f t="shared" si="29"/>
        <v>0</v>
      </c>
      <c r="X147" s="51">
        <f t="shared" si="29"/>
        <v>0</v>
      </c>
      <c r="Y147" s="51">
        <f t="shared" si="29"/>
        <v>0</v>
      </c>
      <c r="Z147" s="51">
        <f t="shared" si="29"/>
        <v>0</v>
      </c>
      <c r="AA147" s="51">
        <f t="shared" si="29"/>
        <v>0</v>
      </c>
      <c r="AB147" s="51">
        <f t="shared" si="29"/>
        <v>0</v>
      </c>
      <c r="AC147" s="51">
        <f t="shared" si="29"/>
        <v>0</v>
      </c>
      <c r="AD147" s="51">
        <f t="shared" si="29"/>
        <v>0</v>
      </c>
      <c r="AE147" s="51">
        <f t="shared" si="29"/>
        <v>0</v>
      </c>
    </row>
    <row r="148" spans="1:32" ht="47.25" thickBot="1">
      <c r="A148" s="156" t="s">
        <v>40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57"/>
      <c r="AF148" s="75"/>
    </row>
    <row r="149" spans="1:38" ht="93.75" thickBot="1">
      <c r="A149" s="46">
        <v>69</v>
      </c>
      <c r="B149" s="45" t="s">
        <v>64</v>
      </c>
      <c r="C149" s="46"/>
      <c r="D149" s="51"/>
      <c r="E149" s="51"/>
      <c r="F149" s="51"/>
      <c r="G149" s="51"/>
      <c r="H149" s="51"/>
      <c r="I149" s="51"/>
      <c r="J149" s="51">
        <v>45</v>
      </c>
      <c r="K149" s="51"/>
      <c r="L149" s="51"/>
      <c r="M149" s="51"/>
      <c r="N149" s="52"/>
      <c r="O149" s="44"/>
      <c r="P149" s="52"/>
      <c r="Q149" s="44"/>
      <c r="R149" s="52"/>
      <c r="S149" s="44"/>
      <c r="T149" s="52"/>
      <c r="U149" s="46"/>
      <c r="V149" s="44"/>
      <c r="W149" s="52"/>
      <c r="X149" s="46"/>
      <c r="Y149" s="44"/>
      <c r="Z149" s="52"/>
      <c r="AA149" s="44"/>
      <c r="AB149" s="46"/>
      <c r="AC149" s="52"/>
      <c r="AD149" s="44"/>
      <c r="AE149" s="51"/>
      <c r="AG149" s="76"/>
      <c r="AH149" s="77"/>
      <c r="AI149" s="76"/>
      <c r="AJ149" s="77"/>
      <c r="AK149" s="77"/>
      <c r="AL149" s="75"/>
    </row>
    <row r="150" spans="1:31" ht="93.75" thickBot="1">
      <c r="A150" s="44">
        <v>47</v>
      </c>
      <c r="B150" s="45" t="s">
        <v>139</v>
      </c>
      <c r="C150" s="46"/>
      <c r="D150" s="51"/>
      <c r="E150" s="51"/>
      <c r="F150" s="51"/>
      <c r="G150" s="51">
        <v>17</v>
      </c>
      <c r="H150" s="51"/>
      <c r="I150" s="51">
        <v>40</v>
      </c>
      <c r="J150" s="51">
        <v>22</v>
      </c>
      <c r="K150" s="51"/>
      <c r="L150" s="51"/>
      <c r="M150" s="51"/>
      <c r="N150" s="52"/>
      <c r="O150" s="44"/>
      <c r="P150" s="52">
        <v>3</v>
      </c>
      <c r="Q150" s="44"/>
      <c r="R150" s="52"/>
      <c r="S150" s="44"/>
      <c r="T150" s="52"/>
      <c r="U150" s="44"/>
      <c r="V150" s="44"/>
      <c r="W150" s="51">
        <v>25</v>
      </c>
      <c r="X150" s="44"/>
      <c r="Y150" s="44"/>
      <c r="Z150" s="52"/>
      <c r="AA150" s="44"/>
      <c r="AB150" s="44"/>
      <c r="AC150" s="52"/>
      <c r="AD150" s="44"/>
      <c r="AE150" s="51"/>
    </row>
    <row r="151" spans="1:31" ht="47.25" thickBot="1">
      <c r="A151" s="44">
        <v>71</v>
      </c>
      <c r="B151" s="45" t="s">
        <v>92</v>
      </c>
      <c r="C151" s="46"/>
      <c r="D151" s="51"/>
      <c r="E151" s="51"/>
      <c r="F151" s="51"/>
      <c r="G151" s="51">
        <v>3</v>
      </c>
      <c r="H151" s="51"/>
      <c r="I151" s="51"/>
      <c r="J151" s="51">
        <v>33</v>
      </c>
      <c r="K151" s="51"/>
      <c r="L151" s="51"/>
      <c r="M151" s="51"/>
      <c r="N151" s="52"/>
      <c r="O151" s="44"/>
      <c r="P151" s="52"/>
      <c r="Q151" s="44">
        <v>2.7</v>
      </c>
      <c r="R151" s="52">
        <v>3</v>
      </c>
      <c r="S151" s="44"/>
      <c r="T151" s="52"/>
      <c r="U151" s="44"/>
      <c r="V151" s="44">
        <v>20</v>
      </c>
      <c r="W151" s="52"/>
      <c r="X151" s="44"/>
      <c r="Y151" s="44"/>
      <c r="Z151" s="52"/>
      <c r="AA151" s="44"/>
      <c r="AB151" s="44"/>
      <c r="AC151" s="52"/>
      <c r="AD151" s="44"/>
      <c r="AE151" s="51"/>
    </row>
    <row r="152" spans="1:31" ht="47.25" thickBot="1">
      <c r="A152" s="44">
        <v>7</v>
      </c>
      <c r="B152" s="45" t="s">
        <v>177</v>
      </c>
      <c r="C152" s="46"/>
      <c r="D152" s="51"/>
      <c r="E152" s="51">
        <v>2.3</v>
      </c>
      <c r="F152" s="51"/>
      <c r="G152" s="51"/>
      <c r="H152" s="51"/>
      <c r="I152" s="51"/>
      <c r="J152" s="51">
        <v>10.7</v>
      </c>
      <c r="K152" s="51"/>
      <c r="L152" s="51"/>
      <c r="M152" s="51"/>
      <c r="N152" s="52"/>
      <c r="O152" s="44"/>
      <c r="P152" s="52">
        <v>1.5</v>
      </c>
      <c r="Q152" s="44"/>
      <c r="R152" s="52"/>
      <c r="S152" s="44"/>
      <c r="T152" s="44"/>
      <c r="U152" s="52"/>
      <c r="V152" s="44"/>
      <c r="W152" s="52"/>
      <c r="X152" s="44"/>
      <c r="Y152" s="44"/>
      <c r="Z152" s="52"/>
      <c r="AA152" s="44"/>
      <c r="AB152" s="52"/>
      <c r="AC152" s="44"/>
      <c r="AD152" s="44"/>
      <c r="AE152" s="51"/>
    </row>
    <row r="153" spans="1:31" ht="47.25" thickBot="1">
      <c r="A153" s="46">
        <v>8</v>
      </c>
      <c r="B153" s="45" t="s">
        <v>55</v>
      </c>
      <c r="C153" s="46"/>
      <c r="D153" s="51"/>
      <c r="E153" s="51"/>
      <c r="F153" s="51"/>
      <c r="G153" s="51"/>
      <c r="H153" s="51"/>
      <c r="I153" s="51">
        <v>102</v>
      </c>
      <c r="J153" s="51"/>
      <c r="K153" s="51"/>
      <c r="L153" s="51"/>
      <c r="M153" s="51"/>
      <c r="N153" s="52"/>
      <c r="O153" s="44"/>
      <c r="P153" s="52">
        <v>4</v>
      </c>
      <c r="Q153" s="44"/>
      <c r="R153" s="52"/>
      <c r="S153" s="44">
        <v>19</v>
      </c>
      <c r="T153" s="44"/>
      <c r="U153" s="52"/>
      <c r="V153" s="44"/>
      <c r="W153" s="52"/>
      <c r="X153" s="44"/>
      <c r="Y153" s="44"/>
      <c r="Z153" s="52"/>
      <c r="AA153" s="44"/>
      <c r="AB153" s="52"/>
      <c r="AC153" s="44"/>
      <c r="AD153" s="44"/>
      <c r="AE153" s="51"/>
    </row>
    <row r="154" spans="1:31" ht="93.75" thickBot="1">
      <c r="A154" s="44" t="s">
        <v>241</v>
      </c>
      <c r="B154" s="45" t="s">
        <v>242</v>
      </c>
      <c r="C154" s="46"/>
      <c r="D154" s="51"/>
      <c r="E154" s="51"/>
      <c r="F154" s="51"/>
      <c r="G154" s="51"/>
      <c r="H154" s="51"/>
      <c r="I154" s="51"/>
      <c r="J154" s="51"/>
      <c r="K154" s="51"/>
      <c r="L154" s="51"/>
      <c r="M154" s="51">
        <v>20</v>
      </c>
      <c r="N154" s="52"/>
      <c r="O154" s="44">
        <v>11</v>
      </c>
      <c r="P154" s="52"/>
      <c r="Q154" s="44"/>
      <c r="R154" s="52"/>
      <c r="S154" s="44"/>
      <c r="T154" s="44"/>
      <c r="U154" s="52"/>
      <c r="V154" s="44"/>
      <c r="W154" s="52"/>
      <c r="X154" s="44"/>
      <c r="Y154" s="44"/>
      <c r="Z154" s="52"/>
      <c r="AA154" s="44"/>
      <c r="AB154" s="52"/>
      <c r="AC154" s="44"/>
      <c r="AD154" s="66"/>
      <c r="AE154" s="44"/>
    </row>
    <row r="155" spans="1:32" ht="47.25" thickBot="1">
      <c r="A155" s="44" t="s">
        <v>45</v>
      </c>
      <c r="B155" s="45" t="s">
        <v>114</v>
      </c>
      <c r="C155" s="51">
        <v>25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97"/>
    </row>
    <row r="156" spans="1:32" s="97" customFormat="1" ht="47.25" thickBot="1">
      <c r="A156" s="44" t="s">
        <v>45</v>
      </c>
      <c r="B156" s="45" t="s">
        <v>144</v>
      </c>
      <c r="C156" s="46"/>
      <c r="D156" s="51">
        <v>40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81"/>
    </row>
    <row r="157" spans="1:31" ht="47.25" thickBot="1">
      <c r="A157" s="44"/>
      <c r="B157" s="45" t="s">
        <v>8</v>
      </c>
      <c r="C157" s="46">
        <f>SUM(C149:C156)</f>
        <v>25</v>
      </c>
      <c r="D157" s="46">
        <f aca="true" t="shared" si="30" ref="D157:AE157">SUM(D149:D156)</f>
        <v>40</v>
      </c>
      <c r="E157" s="46">
        <f t="shared" si="30"/>
        <v>2.3</v>
      </c>
      <c r="F157" s="46">
        <f t="shared" si="30"/>
        <v>0</v>
      </c>
      <c r="G157" s="46">
        <f t="shared" si="30"/>
        <v>20</v>
      </c>
      <c r="H157" s="46">
        <f t="shared" si="30"/>
        <v>0</v>
      </c>
      <c r="I157" s="46">
        <f t="shared" si="30"/>
        <v>142</v>
      </c>
      <c r="J157" s="46">
        <f t="shared" si="30"/>
        <v>110.7</v>
      </c>
      <c r="K157" s="46">
        <f t="shared" si="30"/>
        <v>0</v>
      </c>
      <c r="L157" s="46">
        <f t="shared" si="30"/>
        <v>0</v>
      </c>
      <c r="M157" s="46">
        <f t="shared" si="30"/>
        <v>20</v>
      </c>
      <c r="N157" s="46">
        <f t="shared" si="30"/>
        <v>0</v>
      </c>
      <c r="O157" s="46">
        <f t="shared" si="30"/>
        <v>11</v>
      </c>
      <c r="P157" s="46">
        <f t="shared" si="30"/>
        <v>8.5</v>
      </c>
      <c r="Q157" s="46">
        <f t="shared" si="30"/>
        <v>2.7</v>
      </c>
      <c r="R157" s="46">
        <f t="shared" si="30"/>
        <v>3</v>
      </c>
      <c r="S157" s="46">
        <f t="shared" si="30"/>
        <v>19</v>
      </c>
      <c r="T157" s="46">
        <f t="shared" si="30"/>
        <v>0</v>
      </c>
      <c r="U157" s="46">
        <f t="shared" si="30"/>
        <v>0</v>
      </c>
      <c r="V157" s="46">
        <f t="shared" si="30"/>
        <v>20</v>
      </c>
      <c r="W157" s="46">
        <f t="shared" si="30"/>
        <v>25</v>
      </c>
      <c r="X157" s="46">
        <f t="shared" si="30"/>
        <v>0</v>
      </c>
      <c r="Y157" s="46">
        <f t="shared" si="30"/>
        <v>0</v>
      </c>
      <c r="Z157" s="46">
        <f t="shared" si="30"/>
        <v>0</v>
      </c>
      <c r="AA157" s="46">
        <f t="shared" si="30"/>
        <v>0</v>
      </c>
      <c r="AB157" s="46">
        <f t="shared" si="30"/>
        <v>0</v>
      </c>
      <c r="AC157" s="46">
        <f t="shared" si="30"/>
        <v>0</v>
      </c>
      <c r="AD157" s="46">
        <f t="shared" si="30"/>
        <v>0</v>
      </c>
      <c r="AE157" s="46">
        <f t="shared" si="30"/>
        <v>0</v>
      </c>
    </row>
    <row r="158" spans="1:31" ht="46.5" customHeight="1" thickBot="1">
      <c r="A158" s="156" t="s">
        <v>207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57"/>
    </row>
    <row r="159" spans="1:31" ht="47.25" thickBot="1">
      <c r="A159" s="44">
        <v>14</v>
      </c>
      <c r="B159" s="45" t="s">
        <v>224</v>
      </c>
      <c r="C159" s="46"/>
      <c r="D159" s="51"/>
      <c r="E159" s="51"/>
      <c r="F159" s="51"/>
      <c r="G159" s="51">
        <v>18</v>
      </c>
      <c r="H159" s="51"/>
      <c r="I159" s="51"/>
      <c r="J159" s="51"/>
      <c r="K159" s="51"/>
      <c r="L159" s="51"/>
      <c r="M159" s="51"/>
      <c r="N159" s="44"/>
      <c r="O159" s="52">
        <v>4</v>
      </c>
      <c r="P159" s="44">
        <v>2</v>
      </c>
      <c r="Q159" s="52"/>
      <c r="R159" s="44"/>
      <c r="S159" s="52">
        <v>113</v>
      </c>
      <c r="T159" s="44"/>
      <c r="U159" s="52"/>
      <c r="V159" s="46"/>
      <c r="W159" s="52"/>
      <c r="X159" s="44"/>
      <c r="Y159" s="52"/>
      <c r="Z159" s="44"/>
      <c r="AA159" s="52"/>
      <c r="AB159" s="46"/>
      <c r="AC159" s="44"/>
      <c r="AD159" s="44"/>
      <c r="AE159" s="51"/>
    </row>
    <row r="160" spans="1:31" ht="47.25" thickBot="1">
      <c r="A160" s="46">
        <v>13</v>
      </c>
      <c r="B160" s="50" t="s">
        <v>9</v>
      </c>
      <c r="C160" s="46"/>
      <c r="D160" s="57"/>
      <c r="E160" s="57"/>
      <c r="F160" s="57"/>
      <c r="G160" s="57"/>
      <c r="H160" s="51"/>
      <c r="I160" s="51"/>
      <c r="J160" s="51"/>
      <c r="K160" s="51"/>
      <c r="L160" s="51"/>
      <c r="M160" s="51"/>
      <c r="N160" s="52"/>
      <c r="O160" s="46">
        <v>9</v>
      </c>
      <c r="P160" s="52"/>
      <c r="Q160" s="46"/>
      <c r="R160" s="52"/>
      <c r="S160" s="46"/>
      <c r="T160" s="46"/>
      <c r="U160" s="52"/>
      <c r="V160" s="46"/>
      <c r="W160" s="52"/>
      <c r="X160" s="46"/>
      <c r="Y160" s="46"/>
      <c r="Z160" s="52"/>
      <c r="AA160" s="46">
        <v>0.5</v>
      </c>
      <c r="AB160" s="46"/>
      <c r="AC160" s="52"/>
      <c r="AD160" s="46"/>
      <c r="AE160" s="51"/>
    </row>
    <row r="161" spans="1:31" ht="47.25" thickBot="1">
      <c r="A161" s="44" t="s">
        <v>45</v>
      </c>
      <c r="B161" s="45" t="s">
        <v>114</v>
      </c>
      <c r="C161" s="51">
        <v>20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</row>
    <row r="162" spans="1:31" ht="47.25" thickBot="1">
      <c r="A162" s="44">
        <v>21</v>
      </c>
      <c r="B162" s="73" t="s">
        <v>38</v>
      </c>
      <c r="C162" s="44"/>
      <c r="D162" s="51"/>
      <c r="E162" s="44"/>
      <c r="F162" s="44"/>
      <c r="G162" s="44"/>
      <c r="H162" s="51"/>
      <c r="I162" s="51"/>
      <c r="J162" s="51"/>
      <c r="K162" s="51"/>
      <c r="L162" s="51"/>
      <c r="M162" s="51"/>
      <c r="N162" s="52"/>
      <c r="O162" s="46"/>
      <c r="P162" s="52"/>
      <c r="Q162" s="46"/>
      <c r="R162" s="52"/>
      <c r="S162" s="46">
        <v>145</v>
      </c>
      <c r="T162" s="52"/>
      <c r="U162" s="46"/>
      <c r="V162" s="46"/>
      <c r="W162" s="52"/>
      <c r="X162" s="46"/>
      <c r="Y162" s="46"/>
      <c r="Z162" s="52"/>
      <c r="AA162" s="46"/>
      <c r="AB162" s="46"/>
      <c r="AC162" s="52"/>
      <c r="AD162" s="46"/>
      <c r="AE162" s="51"/>
    </row>
    <row r="163" spans="1:31" ht="93.75" thickBot="1">
      <c r="A163" s="44">
        <v>72</v>
      </c>
      <c r="B163" s="45" t="s">
        <v>138</v>
      </c>
      <c r="C163" s="46"/>
      <c r="D163" s="57"/>
      <c r="E163" s="57">
        <v>40.3</v>
      </c>
      <c r="F163" s="57"/>
      <c r="G163" s="57"/>
      <c r="H163" s="51"/>
      <c r="I163" s="51"/>
      <c r="J163" s="51"/>
      <c r="K163" s="51"/>
      <c r="L163" s="51"/>
      <c r="M163" s="51"/>
      <c r="N163" s="51">
        <v>13.9</v>
      </c>
      <c r="O163" s="51">
        <v>1.7</v>
      </c>
      <c r="P163" s="51">
        <v>1.7</v>
      </c>
      <c r="Q163" s="51">
        <v>0.9</v>
      </c>
      <c r="R163" s="51">
        <v>2.6</v>
      </c>
      <c r="S163" s="51">
        <v>15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92">
        <v>1</v>
      </c>
    </row>
    <row r="164" spans="1:31" ht="47.25" thickBot="1">
      <c r="A164" s="44"/>
      <c r="B164" s="45" t="s">
        <v>8</v>
      </c>
      <c r="C164" s="46">
        <f aca="true" t="shared" si="31" ref="C164:AE164">SUM(C159:C163)</f>
        <v>20</v>
      </c>
      <c r="D164" s="46">
        <f t="shared" si="31"/>
        <v>0</v>
      </c>
      <c r="E164" s="46">
        <f t="shared" si="31"/>
        <v>40.3</v>
      </c>
      <c r="F164" s="46">
        <f t="shared" si="31"/>
        <v>0</v>
      </c>
      <c r="G164" s="46">
        <f t="shared" si="31"/>
        <v>18</v>
      </c>
      <c r="H164" s="46">
        <f t="shared" si="31"/>
        <v>0</v>
      </c>
      <c r="I164" s="46">
        <f t="shared" si="31"/>
        <v>0</v>
      </c>
      <c r="J164" s="46">
        <f t="shared" si="31"/>
        <v>0</v>
      </c>
      <c r="K164" s="46">
        <f t="shared" si="31"/>
        <v>0</v>
      </c>
      <c r="L164" s="46">
        <f t="shared" si="31"/>
        <v>0</v>
      </c>
      <c r="M164" s="46">
        <f t="shared" si="31"/>
        <v>0</v>
      </c>
      <c r="N164" s="46">
        <f t="shared" si="31"/>
        <v>13.9</v>
      </c>
      <c r="O164" s="46">
        <f t="shared" si="31"/>
        <v>14.7</v>
      </c>
      <c r="P164" s="46">
        <f t="shared" si="31"/>
        <v>3.7</v>
      </c>
      <c r="Q164" s="46">
        <f t="shared" si="31"/>
        <v>0.9</v>
      </c>
      <c r="R164" s="46">
        <f t="shared" si="31"/>
        <v>2.6</v>
      </c>
      <c r="S164" s="46">
        <f t="shared" si="31"/>
        <v>273</v>
      </c>
      <c r="T164" s="46">
        <f t="shared" si="31"/>
        <v>0</v>
      </c>
      <c r="U164" s="46">
        <f t="shared" si="31"/>
        <v>0</v>
      </c>
      <c r="V164" s="46">
        <f t="shared" si="31"/>
        <v>0</v>
      </c>
      <c r="W164" s="46">
        <f t="shared" si="31"/>
        <v>0</v>
      </c>
      <c r="X164" s="46">
        <f t="shared" si="31"/>
        <v>0</v>
      </c>
      <c r="Y164" s="46">
        <f t="shared" si="31"/>
        <v>0</v>
      </c>
      <c r="Z164" s="46">
        <f t="shared" si="31"/>
        <v>0</v>
      </c>
      <c r="AA164" s="46">
        <f t="shared" si="31"/>
        <v>0.5</v>
      </c>
      <c r="AB164" s="46">
        <f t="shared" si="31"/>
        <v>0</v>
      </c>
      <c r="AC164" s="46">
        <f t="shared" si="31"/>
        <v>0</v>
      </c>
      <c r="AD164" s="46">
        <f t="shared" si="31"/>
        <v>0</v>
      </c>
      <c r="AE164" s="46">
        <f t="shared" si="31"/>
        <v>1</v>
      </c>
    </row>
    <row r="165" spans="1:31" ht="93.75" thickBot="1">
      <c r="A165" s="95"/>
      <c r="B165" s="45" t="s">
        <v>145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>
        <v>4</v>
      </c>
      <c r="AE165" s="46"/>
    </row>
    <row r="166" spans="1:31" ht="47.25" thickBot="1">
      <c r="A166" s="44"/>
      <c r="B166" s="74" t="s">
        <v>12</v>
      </c>
      <c r="C166" s="46">
        <f aca="true" t="shared" si="32" ref="C166:AC166">SUM(C143+C157+C164+C147)</f>
        <v>65</v>
      </c>
      <c r="D166" s="46">
        <f t="shared" si="32"/>
        <v>40</v>
      </c>
      <c r="E166" s="46">
        <f t="shared" si="32"/>
        <v>42.599999999999994</v>
      </c>
      <c r="F166" s="46">
        <f t="shared" si="32"/>
        <v>0</v>
      </c>
      <c r="G166" s="46">
        <f t="shared" si="32"/>
        <v>38</v>
      </c>
      <c r="H166" s="46">
        <f t="shared" si="32"/>
        <v>0</v>
      </c>
      <c r="I166" s="46">
        <f t="shared" si="32"/>
        <v>142</v>
      </c>
      <c r="J166" s="46">
        <f t="shared" si="32"/>
        <v>110.7</v>
      </c>
      <c r="K166" s="46">
        <f t="shared" si="32"/>
        <v>90</v>
      </c>
      <c r="L166" s="46">
        <f t="shared" si="32"/>
        <v>100</v>
      </c>
      <c r="M166" s="46">
        <f t="shared" si="32"/>
        <v>20</v>
      </c>
      <c r="N166" s="46">
        <f t="shared" si="32"/>
        <v>13.9</v>
      </c>
      <c r="O166" s="46">
        <f t="shared" si="32"/>
        <v>34.7</v>
      </c>
      <c r="P166" s="46">
        <f t="shared" si="32"/>
        <v>20.2</v>
      </c>
      <c r="Q166" s="46">
        <f t="shared" si="32"/>
        <v>3.6</v>
      </c>
      <c r="R166" s="46">
        <f t="shared" si="32"/>
        <v>55.6</v>
      </c>
      <c r="S166" s="46">
        <f t="shared" si="32"/>
        <v>392</v>
      </c>
      <c r="T166" s="46">
        <f t="shared" si="32"/>
        <v>0</v>
      </c>
      <c r="U166" s="46">
        <f t="shared" si="32"/>
        <v>0</v>
      </c>
      <c r="V166" s="46">
        <f t="shared" si="32"/>
        <v>20</v>
      </c>
      <c r="W166" s="46">
        <f t="shared" si="32"/>
        <v>25</v>
      </c>
      <c r="X166" s="46">
        <f t="shared" si="32"/>
        <v>0</v>
      </c>
      <c r="Y166" s="46">
        <f t="shared" si="32"/>
        <v>0</v>
      </c>
      <c r="Z166" s="46">
        <f t="shared" si="32"/>
        <v>9.6</v>
      </c>
      <c r="AA166" s="46">
        <f t="shared" si="32"/>
        <v>0.5</v>
      </c>
      <c r="AB166" s="46">
        <f t="shared" si="32"/>
        <v>2</v>
      </c>
      <c r="AC166" s="46">
        <f t="shared" si="32"/>
        <v>0</v>
      </c>
      <c r="AD166" s="46">
        <v>4</v>
      </c>
      <c r="AE166" s="46">
        <f>SUM(AE143+AE157+AE164+AE147)</f>
        <v>1</v>
      </c>
    </row>
    <row r="167" spans="1:31" ht="46.5" customHeight="1" thickBot="1">
      <c r="A167" s="156" t="s">
        <v>259</v>
      </c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57"/>
    </row>
    <row r="168" spans="1:32" ht="47.25" thickBot="1">
      <c r="A168" s="165" t="s">
        <v>20</v>
      </c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7"/>
      <c r="AF168" s="75"/>
    </row>
    <row r="169" spans="1:31" ht="45.75" customHeight="1">
      <c r="A169" s="168" t="s">
        <v>39</v>
      </c>
      <c r="B169" s="170" t="s">
        <v>26</v>
      </c>
      <c r="C169" s="154" t="s">
        <v>114</v>
      </c>
      <c r="D169" s="154" t="s">
        <v>115</v>
      </c>
      <c r="E169" s="154" t="s">
        <v>116</v>
      </c>
      <c r="F169" s="154" t="s">
        <v>117</v>
      </c>
      <c r="G169" s="154" t="s">
        <v>109</v>
      </c>
      <c r="H169" s="154" t="s">
        <v>118</v>
      </c>
      <c r="I169" s="154" t="s">
        <v>246</v>
      </c>
      <c r="J169" s="154" t="s">
        <v>247</v>
      </c>
      <c r="K169" s="90"/>
      <c r="L169" s="154" t="s">
        <v>217</v>
      </c>
      <c r="M169" s="154" t="s">
        <v>121</v>
      </c>
      <c r="N169" s="154" t="s">
        <v>81</v>
      </c>
      <c r="O169" s="154" t="s">
        <v>82</v>
      </c>
      <c r="P169" s="154" t="s">
        <v>122</v>
      </c>
      <c r="Q169" s="154" t="s">
        <v>83</v>
      </c>
      <c r="R169" s="154" t="s">
        <v>123</v>
      </c>
      <c r="S169" s="154" t="s">
        <v>126</v>
      </c>
      <c r="T169" s="154" t="s">
        <v>143</v>
      </c>
      <c r="U169" s="90"/>
      <c r="V169" s="154" t="s">
        <v>248</v>
      </c>
      <c r="W169" s="154" t="s">
        <v>249</v>
      </c>
      <c r="X169" s="154" t="s">
        <v>250</v>
      </c>
      <c r="Y169" s="154" t="s">
        <v>84</v>
      </c>
      <c r="Z169" s="154" t="s">
        <v>85</v>
      </c>
      <c r="AA169" s="154" t="s">
        <v>89</v>
      </c>
      <c r="AB169" s="90"/>
      <c r="AC169" s="154" t="s">
        <v>124</v>
      </c>
      <c r="AD169" s="154" t="s">
        <v>86</v>
      </c>
      <c r="AE169" s="154" t="s">
        <v>125</v>
      </c>
    </row>
    <row r="170" spans="1:31" ht="344.25" thickBot="1">
      <c r="A170" s="169"/>
      <c r="B170" s="171"/>
      <c r="C170" s="155"/>
      <c r="D170" s="155"/>
      <c r="E170" s="155"/>
      <c r="F170" s="155"/>
      <c r="G170" s="155"/>
      <c r="H170" s="155"/>
      <c r="I170" s="155"/>
      <c r="J170" s="155"/>
      <c r="K170" s="91" t="s">
        <v>119</v>
      </c>
      <c r="L170" s="155"/>
      <c r="M170" s="155"/>
      <c r="N170" s="155"/>
      <c r="O170" s="155"/>
      <c r="P170" s="155"/>
      <c r="Q170" s="155"/>
      <c r="R170" s="155"/>
      <c r="S170" s="155"/>
      <c r="T170" s="155"/>
      <c r="U170" s="91" t="s">
        <v>111</v>
      </c>
      <c r="V170" s="155"/>
      <c r="W170" s="155"/>
      <c r="X170" s="155"/>
      <c r="Y170" s="155"/>
      <c r="Z170" s="155"/>
      <c r="AA170" s="155"/>
      <c r="AB170" s="91" t="s">
        <v>110</v>
      </c>
      <c r="AC170" s="155"/>
      <c r="AD170" s="155"/>
      <c r="AE170" s="155"/>
    </row>
    <row r="171" spans="1:31" ht="47.25" thickBot="1">
      <c r="A171" s="95">
        <v>1</v>
      </c>
      <c r="B171" s="68">
        <v>2</v>
      </c>
      <c r="C171" s="69" t="s">
        <v>112</v>
      </c>
      <c r="D171" s="70">
        <v>4</v>
      </c>
      <c r="E171" s="69">
        <v>5</v>
      </c>
      <c r="F171" s="69">
        <v>6</v>
      </c>
      <c r="G171" s="69">
        <v>7</v>
      </c>
      <c r="H171" s="69">
        <v>8</v>
      </c>
      <c r="I171" s="69" t="s">
        <v>113</v>
      </c>
      <c r="J171" s="70">
        <v>10</v>
      </c>
      <c r="K171" s="69">
        <v>11</v>
      </c>
      <c r="L171" s="69">
        <v>12</v>
      </c>
      <c r="M171" s="69">
        <v>13</v>
      </c>
      <c r="N171" s="69">
        <v>14</v>
      </c>
      <c r="O171" s="69">
        <v>15</v>
      </c>
      <c r="P171" s="94">
        <v>16</v>
      </c>
      <c r="Q171" s="69">
        <v>17</v>
      </c>
      <c r="R171" s="94">
        <v>18</v>
      </c>
      <c r="S171" s="69">
        <v>19</v>
      </c>
      <c r="T171" s="94">
        <v>20</v>
      </c>
      <c r="U171" s="94">
        <v>21</v>
      </c>
      <c r="V171" s="69">
        <v>22</v>
      </c>
      <c r="W171" s="69">
        <v>23</v>
      </c>
      <c r="X171" s="94">
        <v>24</v>
      </c>
      <c r="Y171" s="69">
        <v>25</v>
      </c>
      <c r="Z171" s="69">
        <v>26</v>
      </c>
      <c r="AA171" s="69">
        <v>27</v>
      </c>
      <c r="AB171" s="94">
        <v>28</v>
      </c>
      <c r="AC171" s="69">
        <v>29</v>
      </c>
      <c r="AD171" s="69">
        <v>30</v>
      </c>
      <c r="AE171" s="92">
        <v>31</v>
      </c>
    </row>
    <row r="172" spans="1:31" ht="47.25" thickBot="1">
      <c r="A172" s="165" t="s">
        <v>7</v>
      </c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7"/>
    </row>
    <row r="173" spans="1:31" ht="47.25" thickBot="1">
      <c r="A173" s="46">
        <v>68</v>
      </c>
      <c r="B173" s="48" t="s">
        <v>50</v>
      </c>
      <c r="C173" s="46"/>
      <c r="D173" s="57"/>
      <c r="E173" s="57"/>
      <c r="F173" s="57"/>
      <c r="G173" s="57">
        <v>15</v>
      </c>
      <c r="H173" s="51"/>
      <c r="I173" s="51"/>
      <c r="J173" s="51"/>
      <c r="K173" s="51"/>
      <c r="L173" s="51"/>
      <c r="M173" s="51"/>
      <c r="N173" s="52"/>
      <c r="O173" s="46">
        <v>4</v>
      </c>
      <c r="P173" s="52">
        <v>2</v>
      </c>
      <c r="Q173" s="46"/>
      <c r="R173" s="52"/>
      <c r="S173" s="46">
        <v>113</v>
      </c>
      <c r="T173" s="52"/>
      <c r="U173" s="46"/>
      <c r="V173" s="46"/>
      <c r="W173" s="46"/>
      <c r="X173" s="52"/>
      <c r="Y173" s="46"/>
      <c r="Z173" s="46"/>
      <c r="AA173" s="46"/>
      <c r="AB173" s="52"/>
      <c r="AC173" s="46"/>
      <c r="AD173" s="52"/>
      <c r="AE173" s="46"/>
    </row>
    <row r="174" spans="1:31" ht="47.25" thickBot="1">
      <c r="A174" s="46">
        <v>13</v>
      </c>
      <c r="B174" s="50" t="s">
        <v>9</v>
      </c>
      <c r="C174" s="46"/>
      <c r="D174" s="57"/>
      <c r="E174" s="57"/>
      <c r="F174" s="57"/>
      <c r="G174" s="57"/>
      <c r="H174" s="51"/>
      <c r="I174" s="51"/>
      <c r="J174" s="51"/>
      <c r="K174" s="51"/>
      <c r="L174" s="51"/>
      <c r="M174" s="51"/>
      <c r="N174" s="52"/>
      <c r="O174" s="46">
        <v>9</v>
      </c>
      <c r="P174" s="52"/>
      <c r="Q174" s="46"/>
      <c r="R174" s="52"/>
      <c r="S174" s="46"/>
      <c r="T174" s="46"/>
      <c r="U174" s="52"/>
      <c r="V174" s="46"/>
      <c r="W174" s="52"/>
      <c r="X174" s="46"/>
      <c r="Y174" s="46"/>
      <c r="Z174" s="52"/>
      <c r="AA174" s="46">
        <v>0.5</v>
      </c>
      <c r="AB174" s="46"/>
      <c r="AC174" s="52"/>
      <c r="AD174" s="46"/>
      <c r="AE174" s="51"/>
    </row>
    <row r="175" spans="1:31" ht="47.25" thickBot="1">
      <c r="A175" s="44">
        <v>16</v>
      </c>
      <c r="B175" s="45" t="s">
        <v>54</v>
      </c>
      <c r="C175" s="51">
        <v>20</v>
      </c>
      <c r="D175" s="57"/>
      <c r="E175" s="57"/>
      <c r="F175" s="57"/>
      <c r="G175" s="57"/>
      <c r="H175" s="51"/>
      <c r="I175" s="51"/>
      <c r="J175" s="51"/>
      <c r="K175" s="51"/>
      <c r="L175" s="51"/>
      <c r="M175" s="51"/>
      <c r="N175" s="52"/>
      <c r="O175" s="46"/>
      <c r="P175" s="46">
        <v>4</v>
      </c>
      <c r="Q175" s="46"/>
      <c r="R175" s="52"/>
      <c r="S175" s="46"/>
      <c r="T175" s="52"/>
      <c r="U175" s="44"/>
      <c r="V175" s="46"/>
      <c r="W175" s="44"/>
      <c r="X175" s="52"/>
      <c r="Y175" s="46"/>
      <c r="Z175" s="46"/>
      <c r="AA175" s="52"/>
      <c r="AB175" s="44"/>
      <c r="AC175" s="46"/>
      <c r="AD175" s="52"/>
      <c r="AE175" s="46"/>
    </row>
    <row r="176" spans="1:31" ht="47.25" thickBot="1">
      <c r="A176" s="44"/>
      <c r="B176" s="45" t="s">
        <v>8</v>
      </c>
      <c r="C176" s="44">
        <f>SUM(C173:C175)</f>
        <v>20</v>
      </c>
      <c r="D176" s="44">
        <f aca="true" t="shared" si="33" ref="D176:AE176">SUM(D173:D175)</f>
        <v>0</v>
      </c>
      <c r="E176" s="44">
        <f t="shared" si="33"/>
        <v>0</v>
      </c>
      <c r="F176" s="44">
        <f t="shared" si="33"/>
        <v>0</v>
      </c>
      <c r="G176" s="44">
        <f t="shared" si="33"/>
        <v>15</v>
      </c>
      <c r="H176" s="44">
        <f t="shared" si="33"/>
        <v>0</v>
      </c>
      <c r="I176" s="44">
        <f t="shared" si="33"/>
        <v>0</v>
      </c>
      <c r="J176" s="44">
        <f t="shared" si="33"/>
        <v>0</v>
      </c>
      <c r="K176" s="44">
        <f t="shared" si="33"/>
        <v>0</v>
      </c>
      <c r="L176" s="44">
        <f t="shared" si="33"/>
        <v>0</v>
      </c>
      <c r="M176" s="44">
        <f t="shared" si="33"/>
        <v>0</v>
      </c>
      <c r="N176" s="44">
        <f t="shared" si="33"/>
        <v>0</v>
      </c>
      <c r="O176" s="44">
        <f t="shared" si="33"/>
        <v>13</v>
      </c>
      <c r="P176" s="44">
        <f t="shared" si="33"/>
        <v>6</v>
      </c>
      <c r="Q176" s="44">
        <f t="shared" si="33"/>
        <v>0</v>
      </c>
      <c r="R176" s="44">
        <f t="shared" si="33"/>
        <v>0</v>
      </c>
      <c r="S176" s="44">
        <f t="shared" si="33"/>
        <v>113</v>
      </c>
      <c r="T176" s="44">
        <f t="shared" si="33"/>
        <v>0</v>
      </c>
      <c r="U176" s="44">
        <f t="shared" si="33"/>
        <v>0</v>
      </c>
      <c r="V176" s="44">
        <f t="shared" si="33"/>
        <v>0</v>
      </c>
      <c r="W176" s="44">
        <f t="shared" si="33"/>
        <v>0</v>
      </c>
      <c r="X176" s="44">
        <f t="shared" si="33"/>
        <v>0</v>
      </c>
      <c r="Y176" s="44">
        <f t="shared" si="33"/>
        <v>0</v>
      </c>
      <c r="Z176" s="44">
        <f t="shared" si="33"/>
        <v>0</v>
      </c>
      <c r="AA176" s="44">
        <f t="shared" si="33"/>
        <v>0.5</v>
      </c>
      <c r="AB176" s="44">
        <f t="shared" si="33"/>
        <v>0</v>
      </c>
      <c r="AC176" s="44">
        <f t="shared" si="33"/>
        <v>0</v>
      </c>
      <c r="AD176" s="44">
        <f t="shared" si="33"/>
        <v>0</v>
      </c>
      <c r="AE176" s="44">
        <f t="shared" si="33"/>
        <v>0</v>
      </c>
    </row>
    <row r="177" spans="1:31" ht="47.25" thickBot="1">
      <c r="A177" s="156" t="s">
        <v>107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57"/>
    </row>
    <row r="178" spans="1:31" ht="47.25" thickBot="1">
      <c r="A178" s="44" t="s">
        <v>45</v>
      </c>
      <c r="B178" s="48" t="s">
        <v>108</v>
      </c>
      <c r="C178" s="46"/>
      <c r="D178" s="51"/>
      <c r="E178" s="51"/>
      <c r="F178" s="51"/>
      <c r="G178" s="51"/>
      <c r="H178" s="51"/>
      <c r="I178" s="51"/>
      <c r="J178" s="51"/>
      <c r="K178" s="51">
        <v>90</v>
      </c>
      <c r="L178" s="51"/>
      <c r="M178" s="51"/>
      <c r="N178" s="52"/>
      <c r="O178" s="46"/>
      <c r="P178" s="52"/>
      <c r="Q178" s="46"/>
      <c r="R178" s="52"/>
      <c r="S178" s="46"/>
      <c r="T178" s="52"/>
      <c r="U178" s="46"/>
      <c r="V178" s="46"/>
      <c r="W178" s="52"/>
      <c r="X178" s="46"/>
      <c r="Y178" s="46"/>
      <c r="Z178" s="52"/>
      <c r="AA178" s="46"/>
      <c r="AB178" s="52"/>
      <c r="AC178" s="46"/>
      <c r="AD178" s="46"/>
      <c r="AE178" s="51"/>
    </row>
    <row r="179" spans="1:31" ht="47.25" thickBot="1">
      <c r="A179" s="44" t="s">
        <v>45</v>
      </c>
      <c r="B179" s="45" t="s">
        <v>41</v>
      </c>
      <c r="C179" s="46"/>
      <c r="D179" s="51"/>
      <c r="E179" s="51"/>
      <c r="F179" s="51"/>
      <c r="G179" s="51"/>
      <c r="H179" s="51"/>
      <c r="I179" s="51"/>
      <c r="J179" s="51"/>
      <c r="K179" s="51"/>
      <c r="L179" s="51">
        <v>100</v>
      </c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7"/>
    </row>
    <row r="180" spans="1:31" ht="47.25" thickBot="1">
      <c r="A180" s="44"/>
      <c r="B180" s="45" t="s">
        <v>37</v>
      </c>
      <c r="C180" s="46">
        <f>SUM(C178:C179)</f>
        <v>0</v>
      </c>
      <c r="D180" s="46">
        <f aca="true" t="shared" si="34" ref="D180:P180">SUM(D178:D179)</f>
        <v>0</v>
      </c>
      <c r="E180" s="46">
        <f t="shared" si="34"/>
        <v>0</v>
      </c>
      <c r="F180" s="46">
        <f t="shared" si="34"/>
        <v>0</v>
      </c>
      <c r="G180" s="46">
        <f t="shared" si="34"/>
        <v>0</v>
      </c>
      <c r="H180" s="46">
        <f t="shared" si="34"/>
        <v>0</v>
      </c>
      <c r="I180" s="46">
        <f t="shared" si="34"/>
        <v>0</v>
      </c>
      <c r="J180" s="46">
        <f t="shared" si="34"/>
        <v>0</v>
      </c>
      <c r="K180" s="46">
        <f t="shared" si="34"/>
        <v>90</v>
      </c>
      <c r="L180" s="46">
        <f t="shared" si="34"/>
        <v>100</v>
      </c>
      <c r="M180" s="46">
        <f t="shared" si="34"/>
        <v>0</v>
      </c>
      <c r="N180" s="46">
        <f t="shared" si="34"/>
        <v>0</v>
      </c>
      <c r="O180" s="46">
        <f t="shared" si="34"/>
        <v>0</v>
      </c>
      <c r="P180" s="46">
        <f t="shared" si="34"/>
        <v>0</v>
      </c>
      <c r="Q180" s="51">
        <f aca="true" t="shared" si="35" ref="Q180:AD180">SUM(Q178)</f>
        <v>0</v>
      </c>
      <c r="R180" s="51">
        <f t="shared" si="35"/>
        <v>0</v>
      </c>
      <c r="S180" s="51">
        <f t="shared" si="35"/>
        <v>0</v>
      </c>
      <c r="T180" s="51">
        <f t="shared" si="35"/>
        <v>0</v>
      </c>
      <c r="U180" s="51">
        <f t="shared" si="35"/>
        <v>0</v>
      </c>
      <c r="V180" s="51">
        <f t="shared" si="35"/>
        <v>0</v>
      </c>
      <c r="W180" s="51">
        <f t="shared" si="35"/>
        <v>0</v>
      </c>
      <c r="X180" s="51">
        <f t="shared" si="35"/>
        <v>0</v>
      </c>
      <c r="Y180" s="51">
        <f t="shared" si="35"/>
        <v>0</v>
      </c>
      <c r="Z180" s="51">
        <f t="shared" si="35"/>
        <v>0</v>
      </c>
      <c r="AA180" s="51">
        <f t="shared" si="35"/>
        <v>0</v>
      </c>
      <c r="AB180" s="51">
        <f t="shared" si="35"/>
        <v>0</v>
      </c>
      <c r="AC180" s="51">
        <f t="shared" si="35"/>
        <v>0</v>
      </c>
      <c r="AD180" s="51">
        <f t="shared" si="35"/>
        <v>0</v>
      </c>
      <c r="AE180" s="51">
        <f>SUM(AE178)</f>
        <v>0</v>
      </c>
    </row>
    <row r="181" spans="1:31" ht="47.25" thickBot="1">
      <c r="A181" s="156" t="s">
        <v>40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57"/>
    </row>
    <row r="182" spans="1:31" ht="93.75" thickBot="1">
      <c r="A182" s="46">
        <v>4</v>
      </c>
      <c r="B182" s="47" t="s">
        <v>193</v>
      </c>
      <c r="C182" s="46"/>
      <c r="D182" s="51"/>
      <c r="E182" s="51"/>
      <c r="F182" s="51"/>
      <c r="G182" s="51"/>
      <c r="H182" s="51"/>
      <c r="I182" s="51"/>
      <c r="J182" s="51">
        <v>42</v>
      </c>
      <c r="K182" s="51"/>
      <c r="L182" s="51"/>
      <c r="M182" s="51"/>
      <c r="N182" s="52"/>
      <c r="O182" s="44"/>
      <c r="P182" s="52"/>
      <c r="Q182" s="44">
        <v>4</v>
      </c>
      <c r="R182" s="52"/>
      <c r="S182" s="44"/>
      <c r="T182" s="52"/>
      <c r="U182" s="46"/>
      <c r="V182" s="44"/>
      <c r="W182" s="52"/>
      <c r="X182" s="46"/>
      <c r="Y182" s="44"/>
      <c r="Z182" s="52"/>
      <c r="AA182" s="44"/>
      <c r="AB182" s="46"/>
      <c r="AC182" s="52"/>
      <c r="AD182" s="44"/>
      <c r="AE182" s="92"/>
    </row>
    <row r="183" spans="1:31" ht="93.75" thickBot="1">
      <c r="A183" s="44">
        <v>18</v>
      </c>
      <c r="B183" s="45" t="s">
        <v>71</v>
      </c>
      <c r="C183" s="46"/>
      <c r="D183" s="57"/>
      <c r="E183" s="57"/>
      <c r="F183" s="57"/>
      <c r="G183" s="57">
        <v>4</v>
      </c>
      <c r="H183" s="51"/>
      <c r="I183" s="51">
        <v>60</v>
      </c>
      <c r="J183" s="51">
        <v>20</v>
      </c>
      <c r="K183" s="51"/>
      <c r="L183" s="51"/>
      <c r="M183" s="51"/>
      <c r="N183" s="52"/>
      <c r="O183" s="46"/>
      <c r="P183" s="52">
        <v>3</v>
      </c>
      <c r="Q183" s="46"/>
      <c r="R183" s="52"/>
      <c r="S183" s="46"/>
      <c r="T183" s="52"/>
      <c r="U183" s="44"/>
      <c r="V183" s="44">
        <v>13</v>
      </c>
      <c r="W183" s="52"/>
      <c r="X183" s="44"/>
      <c r="Y183" s="46">
        <v>6</v>
      </c>
      <c r="Z183" s="46"/>
      <c r="AA183" s="52"/>
      <c r="AB183" s="44"/>
      <c r="AC183" s="46"/>
      <c r="AD183" s="52"/>
      <c r="AE183" s="46"/>
    </row>
    <row r="184" spans="1:31" ht="47.25" thickBot="1">
      <c r="A184" s="44">
        <v>80</v>
      </c>
      <c r="B184" s="45" t="s">
        <v>199</v>
      </c>
      <c r="C184" s="51">
        <v>7</v>
      </c>
      <c r="D184" s="51"/>
      <c r="E184" s="51">
        <v>4</v>
      </c>
      <c r="F184" s="51"/>
      <c r="G184" s="51"/>
      <c r="H184" s="51"/>
      <c r="I184" s="51"/>
      <c r="J184" s="51">
        <v>4</v>
      </c>
      <c r="K184" s="51"/>
      <c r="L184" s="51"/>
      <c r="M184" s="51"/>
      <c r="N184" s="52"/>
      <c r="O184" s="44"/>
      <c r="P184" s="52">
        <v>4</v>
      </c>
      <c r="Q184" s="44"/>
      <c r="R184" s="52"/>
      <c r="S184" s="44">
        <v>10</v>
      </c>
      <c r="T184" s="44"/>
      <c r="U184" s="52"/>
      <c r="V184" s="44">
        <v>34</v>
      </c>
      <c r="W184" s="52"/>
      <c r="X184" s="44"/>
      <c r="Y184" s="44"/>
      <c r="Z184" s="52"/>
      <c r="AA184" s="44"/>
      <c r="AB184" s="52"/>
      <c r="AC184" s="44"/>
      <c r="AD184" s="44"/>
      <c r="AE184" s="51"/>
    </row>
    <row r="185" spans="1:31" ht="47.25" thickBot="1">
      <c r="A185" s="44">
        <v>7</v>
      </c>
      <c r="B185" s="45" t="s">
        <v>177</v>
      </c>
      <c r="C185" s="46"/>
      <c r="D185" s="51"/>
      <c r="E185" s="51">
        <v>2.3</v>
      </c>
      <c r="F185" s="51"/>
      <c r="G185" s="51"/>
      <c r="H185" s="51"/>
      <c r="I185" s="51"/>
      <c r="J185" s="51">
        <v>10.7</v>
      </c>
      <c r="K185" s="51"/>
      <c r="L185" s="51"/>
      <c r="M185" s="51"/>
      <c r="N185" s="52"/>
      <c r="O185" s="44"/>
      <c r="P185" s="52">
        <v>1.5</v>
      </c>
      <c r="Q185" s="44"/>
      <c r="R185" s="52"/>
      <c r="S185" s="44"/>
      <c r="T185" s="44"/>
      <c r="U185" s="52"/>
      <c r="V185" s="44"/>
      <c r="W185" s="52"/>
      <c r="X185" s="44"/>
      <c r="Y185" s="44"/>
      <c r="Z185" s="52"/>
      <c r="AA185" s="44"/>
      <c r="AB185" s="52"/>
      <c r="AC185" s="44"/>
      <c r="AD185" s="44"/>
      <c r="AE185" s="51"/>
    </row>
    <row r="186" spans="1:31" ht="93.75" thickBot="1">
      <c r="A186" s="44">
        <v>30</v>
      </c>
      <c r="B186" s="45" t="s">
        <v>136</v>
      </c>
      <c r="C186" s="46"/>
      <c r="D186" s="51"/>
      <c r="E186" s="51"/>
      <c r="F186" s="51"/>
      <c r="G186" s="51"/>
      <c r="H186" s="51">
        <v>29</v>
      </c>
      <c r="I186" s="51"/>
      <c r="J186" s="51">
        <v>27</v>
      </c>
      <c r="K186" s="51"/>
      <c r="L186" s="51"/>
      <c r="M186" s="51"/>
      <c r="N186" s="51"/>
      <c r="O186" s="51"/>
      <c r="P186" s="51">
        <v>5</v>
      </c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</row>
    <row r="187" spans="1:31" ht="47.25" thickBot="1">
      <c r="A187" s="44">
        <v>20</v>
      </c>
      <c r="B187" s="45" t="s">
        <v>43</v>
      </c>
      <c r="C187" s="46"/>
      <c r="D187" s="57"/>
      <c r="E187" s="57"/>
      <c r="F187" s="57">
        <v>5.6</v>
      </c>
      <c r="G187" s="57"/>
      <c r="H187" s="51"/>
      <c r="I187" s="51"/>
      <c r="J187" s="51"/>
      <c r="K187" s="51"/>
      <c r="L187" s="51">
        <v>1.3</v>
      </c>
      <c r="M187" s="51"/>
      <c r="N187" s="52"/>
      <c r="O187" s="46">
        <v>11</v>
      </c>
      <c r="P187" s="52"/>
      <c r="Q187" s="46"/>
      <c r="R187" s="52"/>
      <c r="S187" s="46"/>
      <c r="T187" s="52"/>
      <c r="U187" s="44"/>
      <c r="V187" s="46"/>
      <c r="W187" s="52"/>
      <c r="X187" s="44"/>
      <c r="Y187" s="46"/>
      <c r="Z187" s="46"/>
      <c r="AA187" s="52"/>
      <c r="AB187" s="44"/>
      <c r="AC187" s="46"/>
      <c r="AD187" s="52"/>
      <c r="AE187" s="46"/>
    </row>
    <row r="188" spans="1:31" ht="47.25" thickBot="1">
      <c r="A188" s="44" t="s">
        <v>45</v>
      </c>
      <c r="B188" s="45" t="s">
        <v>114</v>
      </c>
      <c r="C188" s="51">
        <v>25</v>
      </c>
      <c r="D188" s="51"/>
      <c r="E188" s="51"/>
      <c r="F188" s="51"/>
      <c r="G188" s="51"/>
      <c r="H188" s="51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</row>
    <row r="189" spans="1:31" ht="47.25" thickBot="1">
      <c r="A189" s="44" t="s">
        <v>45</v>
      </c>
      <c r="B189" s="45" t="s">
        <v>144</v>
      </c>
      <c r="C189" s="46"/>
      <c r="D189" s="51">
        <v>40</v>
      </c>
      <c r="E189" s="51"/>
      <c r="F189" s="51"/>
      <c r="G189" s="51"/>
      <c r="H189" s="51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</row>
    <row r="190" spans="1:31" ht="47.25" thickBot="1">
      <c r="A190" s="46"/>
      <c r="B190" s="48" t="s">
        <v>37</v>
      </c>
      <c r="C190" s="46">
        <f aca="true" t="shared" si="36" ref="C190:AE190">SUM(C182:C189)</f>
        <v>32</v>
      </c>
      <c r="D190" s="46">
        <f t="shared" si="36"/>
        <v>40</v>
      </c>
      <c r="E190" s="46">
        <f t="shared" si="36"/>
        <v>6.3</v>
      </c>
      <c r="F190" s="46">
        <f t="shared" si="36"/>
        <v>5.6</v>
      </c>
      <c r="G190" s="46">
        <f t="shared" si="36"/>
        <v>4</v>
      </c>
      <c r="H190" s="46">
        <f t="shared" si="36"/>
        <v>29</v>
      </c>
      <c r="I190" s="46">
        <f t="shared" si="36"/>
        <v>60</v>
      </c>
      <c r="J190" s="46">
        <f t="shared" si="36"/>
        <v>103.7</v>
      </c>
      <c r="K190" s="46">
        <f t="shared" si="36"/>
        <v>0</v>
      </c>
      <c r="L190" s="46">
        <f t="shared" si="36"/>
        <v>1.3</v>
      </c>
      <c r="M190" s="46">
        <f t="shared" si="36"/>
        <v>0</v>
      </c>
      <c r="N190" s="46">
        <f t="shared" si="36"/>
        <v>0</v>
      </c>
      <c r="O190" s="46">
        <f t="shared" si="36"/>
        <v>11</v>
      </c>
      <c r="P190" s="46">
        <f t="shared" si="36"/>
        <v>13.5</v>
      </c>
      <c r="Q190" s="46">
        <f t="shared" si="36"/>
        <v>4</v>
      </c>
      <c r="R190" s="46">
        <f t="shared" si="36"/>
        <v>0</v>
      </c>
      <c r="S190" s="46">
        <f t="shared" si="36"/>
        <v>10</v>
      </c>
      <c r="T190" s="46">
        <f t="shared" si="36"/>
        <v>0</v>
      </c>
      <c r="U190" s="46">
        <f t="shared" si="36"/>
        <v>0</v>
      </c>
      <c r="V190" s="46">
        <f t="shared" si="36"/>
        <v>47</v>
      </c>
      <c r="W190" s="46">
        <f t="shared" si="36"/>
        <v>0</v>
      </c>
      <c r="X190" s="46">
        <f t="shared" si="36"/>
        <v>0</v>
      </c>
      <c r="Y190" s="46">
        <f t="shared" si="36"/>
        <v>6</v>
      </c>
      <c r="Z190" s="46">
        <f t="shared" si="36"/>
        <v>0</v>
      </c>
      <c r="AA190" s="46">
        <f t="shared" si="36"/>
        <v>0</v>
      </c>
      <c r="AB190" s="46">
        <f t="shared" si="36"/>
        <v>0</v>
      </c>
      <c r="AC190" s="46">
        <f t="shared" si="36"/>
        <v>0</v>
      </c>
      <c r="AD190" s="46">
        <f t="shared" si="36"/>
        <v>0</v>
      </c>
      <c r="AE190" s="46">
        <f t="shared" si="36"/>
        <v>0</v>
      </c>
    </row>
    <row r="191" spans="1:31" ht="46.5" customHeight="1" thickBot="1">
      <c r="A191" s="156" t="s">
        <v>207</v>
      </c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57"/>
    </row>
    <row r="192" spans="1:31" ht="47.25" thickBot="1">
      <c r="A192" s="44">
        <v>1</v>
      </c>
      <c r="B192" s="48" t="s">
        <v>70</v>
      </c>
      <c r="C192" s="46"/>
      <c r="D192" s="51"/>
      <c r="E192" s="51"/>
      <c r="F192" s="51"/>
      <c r="G192" s="46">
        <v>9</v>
      </c>
      <c r="H192" s="51"/>
      <c r="I192" s="51"/>
      <c r="J192" s="78"/>
      <c r="K192" s="78"/>
      <c r="L192" s="78"/>
      <c r="M192" s="51"/>
      <c r="N192" s="46"/>
      <c r="O192" s="52">
        <v>1.5</v>
      </c>
      <c r="P192" s="46">
        <v>0.75</v>
      </c>
      <c r="Q192" s="52"/>
      <c r="R192" s="46"/>
      <c r="S192" s="52">
        <v>135</v>
      </c>
      <c r="T192" s="46"/>
      <c r="U192" s="52"/>
      <c r="V192" s="46"/>
      <c r="W192" s="52"/>
      <c r="X192" s="46"/>
      <c r="Y192" s="52"/>
      <c r="Z192" s="46"/>
      <c r="AA192" s="52"/>
      <c r="AB192" s="46"/>
      <c r="AC192" s="46"/>
      <c r="AD192" s="46"/>
      <c r="AE192" s="51"/>
    </row>
    <row r="193" spans="1:31" ht="47.25" thickBot="1">
      <c r="A193" s="44">
        <v>86</v>
      </c>
      <c r="B193" s="45" t="s">
        <v>128</v>
      </c>
      <c r="C193" s="51">
        <v>20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44">
        <v>5</v>
      </c>
      <c r="O193" s="52"/>
      <c r="P193" s="44"/>
      <c r="Q193" s="52"/>
      <c r="R193" s="44"/>
      <c r="S193" s="52"/>
      <c r="T193" s="44"/>
      <c r="U193" s="52"/>
      <c r="V193" s="44"/>
      <c r="W193" s="52"/>
      <c r="X193" s="44"/>
      <c r="Y193" s="52"/>
      <c r="Z193" s="44"/>
      <c r="AA193" s="52"/>
      <c r="AB193" s="44"/>
      <c r="AC193" s="44"/>
      <c r="AD193" s="44"/>
      <c r="AE193" s="51"/>
    </row>
    <row r="194" spans="1:31" ht="47.25" thickBot="1">
      <c r="A194" s="44">
        <v>15</v>
      </c>
      <c r="B194" s="45" t="s">
        <v>18</v>
      </c>
      <c r="C194" s="46"/>
      <c r="D194" s="57"/>
      <c r="E194" s="57"/>
      <c r="F194" s="57"/>
      <c r="G194" s="57"/>
      <c r="H194" s="51"/>
      <c r="I194" s="51"/>
      <c r="J194" s="51"/>
      <c r="K194" s="51"/>
      <c r="L194" s="51"/>
      <c r="M194" s="51"/>
      <c r="N194" s="52"/>
      <c r="O194" s="46">
        <v>9</v>
      </c>
      <c r="P194" s="52"/>
      <c r="Q194" s="46"/>
      <c r="R194" s="52"/>
      <c r="S194" s="52">
        <v>70</v>
      </c>
      <c r="T194" s="52"/>
      <c r="U194" s="44"/>
      <c r="V194" s="46"/>
      <c r="W194" s="44"/>
      <c r="X194" s="52"/>
      <c r="Y194" s="46"/>
      <c r="Z194" s="46"/>
      <c r="AA194" s="52"/>
      <c r="AB194" s="44"/>
      <c r="AC194" s="46">
        <v>1</v>
      </c>
      <c r="AD194" s="52"/>
      <c r="AE194" s="46"/>
    </row>
    <row r="195" spans="1:31" ht="47.25" thickBot="1">
      <c r="A195" s="44">
        <v>21</v>
      </c>
      <c r="B195" s="73" t="s">
        <v>38</v>
      </c>
      <c r="C195" s="44"/>
      <c r="D195" s="51"/>
      <c r="E195" s="44"/>
      <c r="F195" s="44"/>
      <c r="G195" s="44"/>
      <c r="H195" s="51"/>
      <c r="I195" s="51"/>
      <c r="J195" s="51"/>
      <c r="K195" s="51"/>
      <c r="L195" s="51"/>
      <c r="M195" s="51"/>
      <c r="N195" s="52"/>
      <c r="O195" s="46"/>
      <c r="P195" s="52"/>
      <c r="Q195" s="46"/>
      <c r="R195" s="52"/>
      <c r="S195" s="46">
        <v>145</v>
      </c>
      <c r="T195" s="52"/>
      <c r="U195" s="46"/>
      <c r="V195" s="46"/>
      <c r="W195" s="52"/>
      <c r="X195" s="46"/>
      <c r="Y195" s="46"/>
      <c r="Z195" s="52"/>
      <c r="AA195" s="46"/>
      <c r="AB195" s="46"/>
      <c r="AC195" s="52"/>
      <c r="AD195" s="46"/>
      <c r="AE195" s="51"/>
    </row>
    <row r="196" spans="1:31" ht="47.25" thickBot="1">
      <c r="A196" s="44">
        <v>78</v>
      </c>
      <c r="B196" s="45" t="s">
        <v>187</v>
      </c>
      <c r="C196" s="46"/>
      <c r="D196" s="51"/>
      <c r="E196" s="51">
        <v>34.4</v>
      </c>
      <c r="F196" s="51"/>
      <c r="G196" s="51"/>
      <c r="H196" s="51"/>
      <c r="I196" s="51"/>
      <c r="J196" s="51"/>
      <c r="K196" s="51"/>
      <c r="L196" s="51"/>
      <c r="M196" s="51"/>
      <c r="N196" s="51"/>
      <c r="O196" s="51">
        <v>7.4</v>
      </c>
      <c r="P196" s="51">
        <v>8</v>
      </c>
      <c r="Q196" s="51">
        <v>0.1</v>
      </c>
      <c r="R196" s="51">
        <v>4</v>
      </c>
      <c r="S196" s="51">
        <v>14</v>
      </c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92">
        <v>0.8</v>
      </c>
    </row>
    <row r="197" spans="1:31" ht="47.25" thickBot="1">
      <c r="A197" s="69"/>
      <c r="B197" s="45" t="s">
        <v>8</v>
      </c>
      <c r="C197" s="46">
        <f>SUM(C192:C196)</f>
        <v>20</v>
      </c>
      <c r="D197" s="46">
        <f aca="true" t="shared" si="37" ref="D197:AE197">SUM(D192:D196)</f>
        <v>0</v>
      </c>
      <c r="E197" s="46">
        <f t="shared" si="37"/>
        <v>34.4</v>
      </c>
      <c r="F197" s="46">
        <f t="shared" si="37"/>
        <v>0</v>
      </c>
      <c r="G197" s="46">
        <f t="shared" si="37"/>
        <v>9</v>
      </c>
      <c r="H197" s="46">
        <f t="shared" si="37"/>
        <v>0</v>
      </c>
      <c r="I197" s="46">
        <f t="shared" si="37"/>
        <v>0</v>
      </c>
      <c r="J197" s="46">
        <f t="shared" si="37"/>
        <v>0</v>
      </c>
      <c r="K197" s="46">
        <f t="shared" si="37"/>
        <v>0</v>
      </c>
      <c r="L197" s="46">
        <f t="shared" si="37"/>
        <v>0</v>
      </c>
      <c r="M197" s="46">
        <f t="shared" si="37"/>
        <v>0</v>
      </c>
      <c r="N197" s="46">
        <f t="shared" si="37"/>
        <v>5</v>
      </c>
      <c r="O197" s="46">
        <f t="shared" si="37"/>
        <v>17.9</v>
      </c>
      <c r="P197" s="46">
        <f t="shared" si="37"/>
        <v>8.75</v>
      </c>
      <c r="Q197" s="46">
        <f t="shared" si="37"/>
        <v>0.1</v>
      </c>
      <c r="R197" s="46">
        <f t="shared" si="37"/>
        <v>4</v>
      </c>
      <c r="S197" s="46">
        <f t="shared" si="37"/>
        <v>364</v>
      </c>
      <c r="T197" s="46">
        <f t="shared" si="37"/>
        <v>0</v>
      </c>
      <c r="U197" s="46">
        <f t="shared" si="37"/>
        <v>0</v>
      </c>
      <c r="V197" s="46">
        <f t="shared" si="37"/>
        <v>0</v>
      </c>
      <c r="W197" s="46">
        <f t="shared" si="37"/>
        <v>0</v>
      </c>
      <c r="X197" s="46">
        <f t="shared" si="37"/>
        <v>0</v>
      </c>
      <c r="Y197" s="46">
        <f t="shared" si="37"/>
        <v>0</v>
      </c>
      <c r="Z197" s="46">
        <f t="shared" si="37"/>
        <v>0</v>
      </c>
      <c r="AA197" s="46">
        <f t="shared" si="37"/>
        <v>0</v>
      </c>
      <c r="AB197" s="46">
        <f t="shared" si="37"/>
        <v>0</v>
      </c>
      <c r="AC197" s="46">
        <f t="shared" si="37"/>
        <v>1</v>
      </c>
      <c r="AD197" s="46">
        <f t="shared" si="37"/>
        <v>0</v>
      </c>
      <c r="AE197" s="46">
        <f t="shared" si="37"/>
        <v>0.8</v>
      </c>
    </row>
    <row r="198" spans="1:32" ht="93.75" thickBot="1">
      <c r="A198" s="95"/>
      <c r="B198" s="45" t="s">
        <v>145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>
        <v>4</v>
      </c>
      <c r="AE198" s="46"/>
      <c r="AF198" s="96"/>
    </row>
    <row r="199" spans="1:31" s="96" customFormat="1" ht="47.25" thickBot="1">
      <c r="A199" s="44"/>
      <c r="B199" s="74" t="s">
        <v>12</v>
      </c>
      <c r="C199" s="79">
        <f aca="true" t="shared" si="38" ref="C199:AC199">SUM(C176+C180+C190+C197)</f>
        <v>72</v>
      </c>
      <c r="D199" s="79">
        <f t="shared" si="38"/>
        <v>40</v>
      </c>
      <c r="E199" s="79">
        <f t="shared" si="38"/>
        <v>40.699999999999996</v>
      </c>
      <c r="F199" s="79">
        <f t="shared" si="38"/>
        <v>5.6</v>
      </c>
      <c r="G199" s="79">
        <f t="shared" si="38"/>
        <v>28</v>
      </c>
      <c r="H199" s="79">
        <f t="shared" si="38"/>
        <v>29</v>
      </c>
      <c r="I199" s="79">
        <f t="shared" si="38"/>
        <v>60</v>
      </c>
      <c r="J199" s="79">
        <f t="shared" si="38"/>
        <v>103.7</v>
      </c>
      <c r="K199" s="79">
        <f t="shared" si="38"/>
        <v>90</v>
      </c>
      <c r="L199" s="79">
        <f t="shared" si="38"/>
        <v>101.3</v>
      </c>
      <c r="M199" s="79">
        <f t="shared" si="38"/>
        <v>0</v>
      </c>
      <c r="N199" s="79">
        <f t="shared" si="38"/>
        <v>5</v>
      </c>
      <c r="O199" s="79">
        <f t="shared" si="38"/>
        <v>41.9</v>
      </c>
      <c r="P199" s="79">
        <f t="shared" si="38"/>
        <v>28.25</v>
      </c>
      <c r="Q199" s="79">
        <f t="shared" si="38"/>
        <v>4.1</v>
      </c>
      <c r="R199" s="79">
        <f t="shared" si="38"/>
        <v>4</v>
      </c>
      <c r="S199" s="79">
        <f t="shared" si="38"/>
        <v>487</v>
      </c>
      <c r="T199" s="79">
        <f t="shared" si="38"/>
        <v>0</v>
      </c>
      <c r="U199" s="79">
        <f t="shared" si="38"/>
        <v>0</v>
      </c>
      <c r="V199" s="79">
        <f t="shared" si="38"/>
        <v>47</v>
      </c>
      <c r="W199" s="79">
        <f t="shared" si="38"/>
        <v>0</v>
      </c>
      <c r="X199" s="79">
        <f t="shared" si="38"/>
        <v>0</v>
      </c>
      <c r="Y199" s="79">
        <f t="shared" si="38"/>
        <v>6</v>
      </c>
      <c r="Z199" s="79">
        <f t="shared" si="38"/>
        <v>0</v>
      </c>
      <c r="AA199" s="79">
        <f t="shared" si="38"/>
        <v>0.5</v>
      </c>
      <c r="AB199" s="79">
        <f t="shared" si="38"/>
        <v>0</v>
      </c>
      <c r="AC199" s="79">
        <f t="shared" si="38"/>
        <v>1</v>
      </c>
      <c r="AD199" s="46">
        <v>4</v>
      </c>
      <c r="AE199" s="79">
        <f>SUM(AE176+AE180+AE190+AE197)</f>
        <v>0.8</v>
      </c>
    </row>
    <row r="200" spans="1:32" s="96" customFormat="1" ht="46.5" customHeight="1" thickBot="1">
      <c r="A200" s="156" t="s">
        <v>259</v>
      </c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57"/>
      <c r="AF200" s="81"/>
    </row>
    <row r="201" spans="1:32" ht="47.25" thickBot="1">
      <c r="A201" s="165" t="s">
        <v>21</v>
      </c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7"/>
      <c r="AF201" s="97"/>
    </row>
    <row r="202" spans="1:31" s="97" customFormat="1" ht="45.75" customHeight="1">
      <c r="A202" s="168" t="s">
        <v>39</v>
      </c>
      <c r="B202" s="170" t="s">
        <v>26</v>
      </c>
      <c r="C202" s="154" t="s">
        <v>114</v>
      </c>
      <c r="D202" s="154" t="s">
        <v>115</v>
      </c>
      <c r="E202" s="154" t="s">
        <v>116</v>
      </c>
      <c r="F202" s="154" t="s">
        <v>117</v>
      </c>
      <c r="G202" s="154" t="s">
        <v>109</v>
      </c>
      <c r="H202" s="154" t="s">
        <v>118</v>
      </c>
      <c r="I202" s="154" t="s">
        <v>246</v>
      </c>
      <c r="J202" s="154" t="s">
        <v>247</v>
      </c>
      <c r="K202" s="90"/>
      <c r="L202" s="154" t="s">
        <v>217</v>
      </c>
      <c r="M202" s="154" t="s">
        <v>121</v>
      </c>
      <c r="N202" s="154" t="s">
        <v>81</v>
      </c>
      <c r="O202" s="154" t="s">
        <v>82</v>
      </c>
      <c r="P202" s="154" t="s">
        <v>122</v>
      </c>
      <c r="Q202" s="154" t="s">
        <v>83</v>
      </c>
      <c r="R202" s="154" t="s">
        <v>123</v>
      </c>
      <c r="S202" s="154" t="s">
        <v>126</v>
      </c>
      <c r="T202" s="154" t="s">
        <v>143</v>
      </c>
      <c r="U202" s="90"/>
      <c r="V202" s="154" t="s">
        <v>248</v>
      </c>
      <c r="W202" s="154" t="s">
        <v>249</v>
      </c>
      <c r="X202" s="154" t="s">
        <v>250</v>
      </c>
      <c r="Y202" s="154" t="s">
        <v>84</v>
      </c>
      <c r="Z202" s="154" t="s">
        <v>85</v>
      </c>
      <c r="AA202" s="154" t="s">
        <v>89</v>
      </c>
      <c r="AB202" s="90"/>
      <c r="AC202" s="154" t="s">
        <v>124</v>
      </c>
      <c r="AD202" s="154" t="s">
        <v>86</v>
      </c>
      <c r="AE202" s="154" t="s">
        <v>125</v>
      </c>
    </row>
    <row r="203" spans="1:31" s="97" customFormat="1" ht="344.25" thickBot="1">
      <c r="A203" s="169"/>
      <c r="B203" s="171"/>
      <c r="C203" s="155"/>
      <c r="D203" s="155"/>
      <c r="E203" s="155"/>
      <c r="F203" s="155"/>
      <c r="G203" s="155"/>
      <c r="H203" s="155"/>
      <c r="I203" s="155"/>
      <c r="J203" s="155"/>
      <c r="K203" s="91" t="s">
        <v>119</v>
      </c>
      <c r="L203" s="155"/>
      <c r="M203" s="155"/>
      <c r="N203" s="155"/>
      <c r="O203" s="155"/>
      <c r="P203" s="155"/>
      <c r="Q203" s="155"/>
      <c r="R203" s="155"/>
      <c r="S203" s="155"/>
      <c r="T203" s="155"/>
      <c r="U203" s="91" t="s">
        <v>111</v>
      </c>
      <c r="V203" s="155"/>
      <c r="W203" s="155"/>
      <c r="X203" s="155"/>
      <c r="Y203" s="155"/>
      <c r="Z203" s="155"/>
      <c r="AA203" s="155"/>
      <c r="AB203" s="91" t="s">
        <v>110</v>
      </c>
      <c r="AC203" s="155"/>
      <c r="AD203" s="155"/>
      <c r="AE203" s="155"/>
    </row>
    <row r="204" spans="1:31" s="97" customFormat="1" ht="47.25" thickBot="1">
      <c r="A204" s="95">
        <v>1</v>
      </c>
      <c r="B204" s="68">
        <v>2</v>
      </c>
      <c r="C204" s="69" t="s">
        <v>112</v>
      </c>
      <c r="D204" s="70">
        <v>4</v>
      </c>
      <c r="E204" s="69">
        <v>5</v>
      </c>
      <c r="F204" s="69">
        <v>6</v>
      </c>
      <c r="G204" s="69">
        <v>7</v>
      </c>
      <c r="H204" s="69">
        <v>8</v>
      </c>
      <c r="I204" s="69" t="s">
        <v>113</v>
      </c>
      <c r="J204" s="70">
        <v>10</v>
      </c>
      <c r="K204" s="69">
        <v>11</v>
      </c>
      <c r="L204" s="69">
        <v>12</v>
      </c>
      <c r="M204" s="69">
        <v>13</v>
      </c>
      <c r="N204" s="69">
        <v>14</v>
      </c>
      <c r="O204" s="69">
        <v>15</v>
      </c>
      <c r="P204" s="94">
        <v>16</v>
      </c>
      <c r="Q204" s="69">
        <v>17</v>
      </c>
      <c r="R204" s="94">
        <v>18</v>
      </c>
      <c r="S204" s="69">
        <v>19</v>
      </c>
      <c r="T204" s="94">
        <v>20</v>
      </c>
      <c r="U204" s="94">
        <v>21</v>
      </c>
      <c r="V204" s="69">
        <v>22</v>
      </c>
      <c r="W204" s="69">
        <v>23</v>
      </c>
      <c r="X204" s="94">
        <v>24</v>
      </c>
      <c r="Y204" s="69">
        <v>25</v>
      </c>
      <c r="Z204" s="69">
        <v>26</v>
      </c>
      <c r="AA204" s="69">
        <v>27</v>
      </c>
      <c r="AB204" s="94">
        <v>28</v>
      </c>
      <c r="AC204" s="69">
        <v>29</v>
      </c>
      <c r="AD204" s="69">
        <v>30</v>
      </c>
      <c r="AE204" s="92">
        <v>31</v>
      </c>
    </row>
    <row r="205" spans="1:32" s="97" customFormat="1" ht="47.25" thickBot="1">
      <c r="A205" s="165" t="s">
        <v>7</v>
      </c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7"/>
      <c r="AF205" s="81"/>
    </row>
    <row r="206" spans="1:31" ht="116.25" customHeight="1" thickBot="1">
      <c r="A206" s="46">
        <v>50.14</v>
      </c>
      <c r="B206" s="48" t="s">
        <v>221</v>
      </c>
      <c r="C206" s="46"/>
      <c r="D206" s="57"/>
      <c r="E206" s="57"/>
      <c r="F206" s="57"/>
      <c r="G206" s="57">
        <v>15</v>
      </c>
      <c r="H206" s="51"/>
      <c r="I206" s="51"/>
      <c r="J206" s="51"/>
      <c r="K206" s="51"/>
      <c r="L206" s="51"/>
      <c r="M206" s="51"/>
      <c r="N206" s="52"/>
      <c r="O206" s="46">
        <v>4</v>
      </c>
      <c r="P206" s="52">
        <v>2</v>
      </c>
      <c r="Q206" s="46"/>
      <c r="R206" s="52"/>
      <c r="S206" s="46">
        <v>113</v>
      </c>
      <c r="T206" s="52"/>
      <c r="U206" s="46"/>
      <c r="V206" s="46"/>
      <c r="W206" s="46"/>
      <c r="X206" s="52"/>
      <c r="Y206" s="46"/>
      <c r="Z206" s="46"/>
      <c r="AA206" s="46"/>
      <c r="AB206" s="52"/>
      <c r="AC206" s="46"/>
      <c r="AD206" s="52"/>
      <c r="AE206" s="46"/>
    </row>
    <row r="207" spans="1:31" ht="93.75" thickBot="1">
      <c r="A207" s="44">
        <v>103</v>
      </c>
      <c r="B207" s="45" t="s">
        <v>237</v>
      </c>
      <c r="C207" s="46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44"/>
      <c r="O207" s="46">
        <v>2</v>
      </c>
      <c r="P207" s="44"/>
      <c r="Q207" s="52"/>
      <c r="R207" s="44"/>
      <c r="S207" s="52">
        <v>29</v>
      </c>
      <c r="T207" s="44"/>
      <c r="U207" s="52"/>
      <c r="V207" s="44"/>
      <c r="W207" s="52"/>
      <c r="X207" s="44"/>
      <c r="Y207" s="52"/>
      <c r="Z207" s="44"/>
      <c r="AA207" s="52"/>
      <c r="AB207" s="44">
        <v>2</v>
      </c>
      <c r="AC207" s="44"/>
      <c r="AD207" s="44"/>
      <c r="AE207" s="46"/>
    </row>
    <row r="208" spans="1:31" ht="47.25" thickBot="1">
      <c r="A208" s="44">
        <v>3</v>
      </c>
      <c r="B208" s="45" t="s">
        <v>58</v>
      </c>
      <c r="C208" s="51">
        <v>20</v>
      </c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44"/>
      <c r="O208" s="52"/>
      <c r="P208" s="46">
        <v>4</v>
      </c>
      <c r="Q208" s="52"/>
      <c r="R208" s="44"/>
      <c r="S208" s="52"/>
      <c r="T208" s="66"/>
      <c r="U208" s="44"/>
      <c r="V208" s="46"/>
      <c r="W208" s="52"/>
      <c r="X208" s="44"/>
      <c r="Y208" s="52"/>
      <c r="Z208" s="44">
        <v>9.6</v>
      </c>
      <c r="AA208" s="52"/>
      <c r="AB208" s="44"/>
      <c r="AC208" s="51"/>
      <c r="AD208" s="66"/>
      <c r="AE208" s="44"/>
    </row>
    <row r="209" spans="1:31" ht="47.25" thickBot="1">
      <c r="A209" s="44"/>
      <c r="B209" s="45" t="s">
        <v>8</v>
      </c>
      <c r="C209" s="46">
        <f>SUM(C206+C207+C208)</f>
        <v>20</v>
      </c>
      <c r="D209" s="46">
        <f aca="true" t="shared" si="39" ref="D209:AE209">SUM(D206+D207+D208)</f>
        <v>0</v>
      </c>
      <c r="E209" s="46">
        <f t="shared" si="39"/>
        <v>0</v>
      </c>
      <c r="F209" s="46">
        <f t="shared" si="39"/>
        <v>0</v>
      </c>
      <c r="G209" s="46">
        <f t="shared" si="39"/>
        <v>15</v>
      </c>
      <c r="H209" s="46">
        <f t="shared" si="39"/>
        <v>0</v>
      </c>
      <c r="I209" s="46">
        <f t="shared" si="39"/>
        <v>0</v>
      </c>
      <c r="J209" s="46">
        <f t="shared" si="39"/>
        <v>0</v>
      </c>
      <c r="K209" s="46">
        <f t="shared" si="39"/>
        <v>0</v>
      </c>
      <c r="L209" s="46">
        <f t="shared" si="39"/>
        <v>0</v>
      </c>
      <c r="M209" s="46">
        <f t="shared" si="39"/>
        <v>0</v>
      </c>
      <c r="N209" s="46">
        <f t="shared" si="39"/>
        <v>0</v>
      </c>
      <c r="O209" s="46">
        <f t="shared" si="39"/>
        <v>6</v>
      </c>
      <c r="P209" s="46">
        <f t="shared" si="39"/>
        <v>6</v>
      </c>
      <c r="Q209" s="46">
        <f t="shared" si="39"/>
        <v>0</v>
      </c>
      <c r="R209" s="46">
        <f t="shared" si="39"/>
        <v>0</v>
      </c>
      <c r="S209" s="46">
        <f t="shared" si="39"/>
        <v>142</v>
      </c>
      <c r="T209" s="46">
        <f t="shared" si="39"/>
        <v>0</v>
      </c>
      <c r="U209" s="46">
        <f t="shared" si="39"/>
        <v>0</v>
      </c>
      <c r="V209" s="46">
        <f t="shared" si="39"/>
        <v>0</v>
      </c>
      <c r="W209" s="46">
        <f t="shared" si="39"/>
        <v>0</v>
      </c>
      <c r="X209" s="46">
        <f t="shared" si="39"/>
        <v>0</v>
      </c>
      <c r="Y209" s="46">
        <f t="shared" si="39"/>
        <v>0</v>
      </c>
      <c r="Z209" s="46">
        <f t="shared" si="39"/>
        <v>9.6</v>
      </c>
      <c r="AA209" s="46">
        <f t="shared" si="39"/>
        <v>0</v>
      </c>
      <c r="AB209" s="46">
        <f t="shared" si="39"/>
        <v>2</v>
      </c>
      <c r="AC209" s="46">
        <f t="shared" si="39"/>
        <v>0</v>
      </c>
      <c r="AD209" s="46">
        <f t="shared" si="39"/>
        <v>0</v>
      </c>
      <c r="AE209" s="46">
        <f t="shared" si="39"/>
        <v>0</v>
      </c>
    </row>
    <row r="210" spans="1:31" ht="47.25" thickBot="1">
      <c r="A210" s="156" t="s">
        <v>107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57"/>
    </row>
    <row r="211" spans="1:31" ht="47.25" thickBot="1">
      <c r="A211" s="44" t="s">
        <v>45</v>
      </c>
      <c r="B211" s="48" t="s">
        <v>108</v>
      </c>
      <c r="C211" s="46"/>
      <c r="D211" s="51"/>
      <c r="E211" s="51"/>
      <c r="F211" s="51"/>
      <c r="G211" s="51"/>
      <c r="H211" s="51"/>
      <c r="I211" s="51"/>
      <c r="J211" s="51"/>
      <c r="K211" s="51">
        <v>90</v>
      </c>
      <c r="L211" s="51"/>
      <c r="M211" s="51"/>
      <c r="N211" s="52"/>
      <c r="O211" s="46"/>
      <c r="P211" s="52"/>
      <c r="Q211" s="46"/>
      <c r="R211" s="52"/>
      <c r="S211" s="46"/>
      <c r="T211" s="52"/>
      <c r="U211" s="46"/>
      <c r="V211" s="46"/>
      <c r="W211" s="52"/>
      <c r="X211" s="46"/>
      <c r="Y211" s="46"/>
      <c r="Z211" s="52"/>
      <c r="AA211" s="46"/>
      <c r="AB211" s="52"/>
      <c r="AC211" s="46"/>
      <c r="AD211" s="46"/>
      <c r="AE211" s="51"/>
    </row>
    <row r="212" spans="1:31" ht="47.25" thickBot="1">
      <c r="A212" s="44" t="s">
        <v>45</v>
      </c>
      <c r="B212" s="45" t="s">
        <v>127</v>
      </c>
      <c r="C212" s="46"/>
      <c r="D212" s="51"/>
      <c r="E212" s="51"/>
      <c r="F212" s="51"/>
      <c r="G212" s="51"/>
      <c r="H212" s="51"/>
      <c r="I212" s="51"/>
      <c r="J212" s="51"/>
      <c r="K212" s="51"/>
      <c r="L212" s="51">
        <v>100</v>
      </c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7"/>
    </row>
    <row r="213" spans="1:31" ht="47.25" thickBot="1">
      <c r="A213" s="44"/>
      <c r="B213" s="45" t="s">
        <v>37</v>
      </c>
      <c r="C213" s="46">
        <f>SUM(C211:C212)</f>
        <v>0</v>
      </c>
      <c r="D213" s="46">
        <f aca="true" t="shared" si="40" ref="D213:L213">SUM(D211:D212)</f>
        <v>0</v>
      </c>
      <c r="E213" s="46">
        <f t="shared" si="40"/>
        <v>0</v>
      </c>
      <c r="F213" s="46">
        <f t="shared" si="40"/>
        <v>0</v>
      </c>
      <c r="G213" s="46">
        <f t="shared" si="40"/>
        <v>0</v>
      </c>
      <c r="H213" s="46">
        <f t="shared" si="40"/>
        <v>0</v>
      </c>
      <c r="I213" s="46">
        <f t="shared" si="40"/>
        <v>0</v>
      </c>
      <c r="J213" s="46">
        <f t="shared" si="40"/>
        <v>0</v>
      </c>
      <c r="K213" s="46">
        <f t="shared" si="40"/>
        <v>90</v>
      </c>
      <c r="L213" s="46">
        <f t="shared" si="40"/>
        <v>100</v>
      </c>
      <c r="M213" s="51">
        <f aca="true" t="shared" si="41" ref="M213:AE213">SUM(M211)</f>
        <v>0</v>
      </c>
      <c r="N213" s="51">
        <f t="shared" si="41"/>
        <v>0</v>
      </c>
      <c r="O213" s="51">
        <f t="shared" si="41"/>
        <v>0</v>
      </c>
      <c r="P213" s="51">
        <f t="shared" si="41"/>
        <v>0</v>
      </c>
      <c r="Q213" s="51">
        <f t="shared" si="41"/>
        <v>0</v>
      </c>
      <c r="R213" s="51">
        <f t="shared" si="41"/>
        <v>0</v>
      </c>
      <c r="S213" s="51">
        <f t="shared" si="41"/>
        <v>0</v>
      </c>
      <c r="T213" s="51">
        <f t="shared" si="41"/>
        <v>0</v>
      </c>
      <c r="U213" s="51">
        <f t="shared" si="41"/>
        <v>0</v>
      </c>
      <c r="V213" s="51">
        <f t="shared" si="41"/>
        <v>0</v>
      </c>
      <c r="W213" s="51">
        <f t="shared" si="41"/>
        <v>0</v>
      </c>
      <c r="X213" s="51">
        <f t="shared" si="41"/>
        <v>0</v>
      </c>
      <c r="Y213" s="51">
        <f t="shared" si="41"/>
        <v>0</v>
      </c>
      <c r="Z213" s="51">
        <f t="shared" si="41"/>
        <v>0</v>
      </c>
      <c r="AA213" s="51">
        <f t="shared" si="41"/>
        <v>0</v>
      </c>
      <c r="AB213" s="51">
        <f t="shared" si="41"/>
        <v>0</v>
      </c>
      <c r="AC213" s="51">
        <f t="shared" si="41"/>
        <v>0</v>
      </c>
      <c r="AD213" s="51">
        <f t="shared" si="41"/>
        <v>0</v>
      </c>
      <c r="AE213" s="51">
        <f t="shared" si="41"/>
        <v>0</v>
      </c>
    </row>
    <row r="214" spans="1:31" ht="47.25" thickBot="1">
      <c r="A214" s="165" t="s">
        <v>10</v>
      </c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7"/>
    </row>
    <row r="215" spans="1:31" ht="47.25" thickBot="1">
      <c r="A215" s="44">
        <v>33</v>
      </c>
      <c r="B215" s="45" t="s">
        <v>67</v>
      </c>
      <c r="C215" s="46"/>
      <c r="D215" s="51"/>
      <c r="E215" s="51"/>
      <c r="F215" s="51"/>
      <c r="G215" s="51"/>
      <c r="H215" s="51"/>
      <c r="I215" s="51"/>
      <c r="J215" s="51">
        <v>8</v>
      </c>
      <c r="K215" s="51"/>
      <c r="L215" s="51"/>
      <c r="M215" s="51"/>
      <c r="N215" s="52"/>
      <c r="O215" s="44"/>
      <c r="P215" s="52"/>
      <c r="Q215" s="44">
        <v>4</v>
      </c>
      <c r="R215" s="52"/>
      <c r="S215" s="44"/>
      <c r="T215" s="52"/>
      <c r="U215" s="46"/>
      <c r="V215" s="44"/>
      <c r="W215" s="52"/>
      <c r="X215" s="46">
        <v>46</v>
      </c>
      <c r="Y215" s="44"/>
      <c r="Z215" s="52"/>
      <c r="AA215" s="44"/>
      <c r="AB215" s="46"/>
      <c r="AC215" s="52"/>
      <c r="AD215" s="44"/>
      <c r="AE215" s="93"/>
    </row>
    <row r="216" spans="1:31" ht="47.25" thickBot="1">
      <c r="A216" s="44">
        <v>70</v>
      </c>
      <c r="B216" s="45" t="s">
        <v>68</v>
      </c>
      <c r="C216" s="46"/>
      <c r="D216" s="51"/>
      <c r="E216" s="51"/>
      <c r="F216" s="51"/>
      <c r="G216" s="51"/>
      <c r="H216" s="51"/>
      <c r="I216" s="51">
        <v>34</v>
      </c>
      <c r="J216" s="51">
        <v>74</v>
      </c>
      <c r="K216" s="51"/>
      <c r="L216" s="51"/>
      <c r="M216" s="51"/>
      <c r="N216" s="52"/>
      <c r="O216" s="44">
        <v>1</v>
      </c>
      <c r="P216" s="52">
        <v>3</v>
      </c>
      <c r="Q216" s="44"/>
      <c r="R216" s="52"/>
      <c r="S216" s="44"/>
      <c r="T216" s="52"/>
      <c r="U216" s="44"/>
      <c r="V216" s="44">
        <v>13</v>
      </c>
      <c r="W216" s="52"/>
      <c r="X216" s="44"/>
      <c r="Y216" s="46">
        <v>6</v>
      </c>
      <c r="Z216" s="52"/>
      <c r="AA216" s="44"/>
      <c r="AB216" s="44"/>
      <c r="AC216" s="52"/>
      <c r="AD216" s="44"/>
      <c r="AE216" s="51"/>
    </row>
    <row r="217" spans="1:31" ht="47.25" thickBot="1">
      <c r="A217" s="44">
        <v>64</v>
      </c>
      <c r="B217" s="45" t="s">
        <v>57</v>
      </c>
      <c r="C217" s="46"/>
      <c r="D217" s="51"/>
      <c r="E217" s="51">
        <v>3</v>
      </c>
      <c r="F217" s="51"/>
      <c r="G217" s="51">
        <v>4</v>
      </c>
      <c r="H217" s="51"/>
      <c r="I217" s="51"/>
      <c r="J217" s="51">
        <v>13</v>
      </c>
      <c r="K217" s="51"/>
      <c r="L217" s="51"/>
      <c r="M217" s="51"/>
      <c r="N217" s="52"/>
      <c r="O217" s="44"/>
      <c r="P217" s="52"/>
      <c r="Q217" s="44">
        <v>4</v>
      </c>
      <c r="R217" s="52">
        <v>2</v>
      </c>
      <c r="S217" s="44"/>
      <c r="T217" s="52"/>
      <c r="U217" s="44"/>
      <c r="V217" s="44">
        <v>32</v>
      </c>
      <c r="W217" s="52"/>
      <c r="X217" s="44"/>
      <c r="Y217" s="44"/>
      <c r="Z217" s="52"/>
      <c r="AA217" s="44"/>
      <c r="AB217" s="44"/>
      <c r="AC217" s="52"/>
      <c r="AD217" s="44"/>
      <c r="AE217" s="92"/>
    </row>
    <row r="218" spans="1:31" ht="47.25" thickBot="1">
      <c r="A218" s="44">
        <v>7</v>
      </c>
      <c r="B218" s="45" t="s">
        <v>177</v>
      </c>
      <c r="C218" s="46"/>
      <c r="D218" s="51"/>
      <c r="E218" s="51">
        <v>2.3</v>
      </c>
      <c r="F218" s="51"/>
      <c r="G218" s="51"/>
      <c r="H218" s="51"/>
      <c r="I218" s="51"/>
      <c r="J218" s="51">
        <v>10.7</v>
      </c>
      <c r="K218" s="51"/>
      <c r="L218" s="51"/>
      <c r="M218" s="51"/>
      <c r="N218" s="52"/>
      <c r="O218" s="44"/>
      <c r="P218" s="52">
        <v>1.5</v>
      </c>
      <c r="Q218" s="44"/>
      <c r="R218" s="52"/>
      <c r="S218" s="44"/>
      <c r="T218" s="44"/>
      <c r="U218" s="52"/>
      <c r="V218" s="44"/>
      <c r="W218" s="52"/>
      <c r="X218" s="44"/>
      <c r="Y218" s="44"/>
      <c r="Z218" s="52"/>
      <c r="AA218" s="44"/>
      <c r="AB218" s="52"/>
      <c r="AC218" s="44"/>
      <c r="AD218" s="44"/>
      <c r="AE218" s="51"/>
    </row>
    <row r="219" spans="1:31" ht="47.25" thickBot="1">
      <c r="A219" s="44">
        <v>90</v>
      </c>
      <c r="B219" s="45" t="s">
        <v>197</v>
      </c>
      <c r="C219" s="46"/>
      <c r="D219" s="51"/>
      <c r="E219" s="51"/>
      <c r="F219" s="51"/>
      <c r="G219" s="51"/>
      <c r="H219" s="51"/>
      <c r="I219" s="51">
        <v>72</v>
      </c>
      <c r="J219" s="51">
        <v>66</v>
      </c>
      <c r="K219" s="51"/>
      <c r="L219" s="51"/>
      <c r="M219" s="51"/>
      <c r="N219" s="44"/>
      <c r="O219" s="52"/>
      <c r="P219" s="44">
        <v>6</v>
      </c>
      <c r="Q219" s="52"/>
      <c r="R219" s="44"/>
      <c r="S219" s="52"/>
      <c r="T219" s="66"/>
      <c r="U219" s="44"/>
      <c r="V219" s="44"/>
      <c r="W219" s="52"/>
      <c r="X219" s="44"/>
      <c r="Y219" s="52"/>
      <c r="Z219" s="44"/>
      <c r="AA219" s="44"/>
      <c r="AB219" s="52"/>
      <c r="AC219" s="44"/>
      <c r="AD219" s="44"/>
      <c r="AE219" s="51"/>
    </row>
    <row r="220" spans="1:31" ht="47.25" thickBot="1">
      <c r="A220" s="44">
        <v>9</v>
      </c>
      <c r="B220" s="45" t="s">
        <v>74</v>
      </c>
      <c r="C220" s="46"/>
      <c r="D220" s="51"/>
      <c r="E220" s="51"/>
      <c r="F220" s="51"/>
      <c r="G220" s="51"/>
      <c r="H220" s="51"/>
      <c r="I220" s="51"/>
      <c r="J220" s="51"/>
      <c r="K220" s="51"/>
      <c r="L220" s="51"/>
      <c r="M220" s="51">
        <v>20</v>
      </c>
      <c r="N220" s="52"/>
      <c r="O220" s="44">
        <v>11</v>
      </c>
      <c r="P220" s="52"/>
      <c r="Q220" s="44"/>
      <c r="R220" s="52"/>
      <c r="S220" s="44"/>
      <c r="T220" s="44"/>
      <c r="U220" s="52"/>
      <c r="V220" s="44"/>
      <c r="W220" s="52"/>
      <c r="X220" s="44"/>
      <c r="Y220" s="44"/>
      <c r="Z220" s="52"/>
      <c r="AA220" s="44"/>
      <c r="AB220" s="52"/>
      <c r="AC220" s="44"/>
      <c r="AD220" s="66"/>
      <c r="AE220" s="44"/>
    </row>
    <row r="221" spans="1:31" ht="47.25" thickBot="1">
      <c r="A221" s="44" t="s">
        <v>45</v>
      </c>
      <c r="B221" s="45" t="s">
        <v>114</v>
      </c>
      <c r="C221" s="51">
        <v>25</v>
      </c>
      <c r="D221" s="51"/>
      <c r="E221" s="51"/>
      <c r="F221" s="51"/>
      <c r="G221" s="51"/>
      <c r="H221" s="51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</row>
    <row r="222" spans="1:31" ht="47.25" thickBot="1">
      <c r="A222" s="44" t="s">
        <v>45</v>
      </c>
      <c r="B222" s="45" t="s">
        <v>144</v>
      </c>
      <c r="C222" s="46"/>
      <c r="D222" s="51">
        <v>40</v>
      </c>
      <c r="E222" s="51"/>
      <c r="F222" s="51"/>
      <c r="G222" s="51"/>
      <c r="H222" s="51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</row>
    <row r="223" spans="1:31" ht="47.25" thickBot="1">
      <c r="A223" s="46"/>
      <c r="B223" s="48" t="s">
        <v>37</v>
      </c>
      <c r="C223" s="46">
        <f aca="true" t="shared" si="42" ref="C223:AE223">SUM(C215:C222)</f>
        <v>25</v>
      </c>
      <c r="D223" s="46">
        <f t="shared" si="42"/>
        <v>40</v>
      </c>
      <c r="E223" s="46">
        <f t="shared" si="42"/>
        <v>5.3</v>
      </c>
      <c r="F223" s="46">
        <f t="shared" si="42"/>
        <v>0</v>
      </c>
      <c r="G223" s="46">
        <f t="shared" si="42"/>
        <v>4</v>
      </c>
      <c r="H223" s="46">
        <f t="shared" si="42"/>
        <v>0</v>
      </c>
      <c r="I223" s="46">
        <f t="shared" si="42"/>
        <v>106</v>
      </c>
      <c r="J223" s="46">
        <f t="shared" si="42"/>
        <v>171.7</v>
      </c>
      <c r="K223" s="46">
        <f t="shared" si="42"/>
        <v>0</v>
      </c>
      <c r="L223" s="46">
        <f t="shared" si="42"/>
        <v>0</v>
      </c>
      <c r="M223" s="46">
        <f t="shared" si="42"/>
        <v>20</v>
      </c>
      <c r="N223" s="46">
        <f t="shared" si="42"/>
        <v>0</v>
      </c>
      <c r="O223" s="46">
        <f t="shared" si="42"/>
        <v>12</v>
      </c>
      <c r="P223" s="46">
        <f t="shared" si="42"/>
        <v>10.5</v>
      </c>
      <c r="Q223" s="46">
        <f t="shared" si="42"/>
        <v>8</v>
      </c>
      <c r="R223" s="46">
        <f t="shared" si="42"/>
        <v>2</v>
      </c>
      <c r="S223" s="46">
        <f t="shared" si="42"/>
        <v>0</v>
      </c>
      <c r="T223" s="46">
        <f t="shared" si="42"/>
        <v>0</v>
      </c>
      <c r="U223" s="46">
        <f t="shared" si="42"/>
        <v>0</v>
      </c>
      <c r="V223" s="46">
        <f t="shared" si="42"/>
        <v>45</v>
      </c>
      <c r="W223" s="46">
        <f t="shared" si="42"/>
        <v>0</v>
      </c>
      <c r="X223" s="46">
        <f t="shared" si="42"/>
        <v>46</v>
      </c>
      <c r="Y223" s="46">
        <f t="shared" si="42"/>
        <v>6</v>
      </c>
      <c r="Z223" s="46">
        <f t="shared" si="42"/>
        <v>0</v>
      </c>
      <c r="AA223" s="46">
        <f t="shared" si="42"/>
        <v>0</v>
      </c>
      <c r="AB223" s="46">
        <f t="shared" si="42"/>
        <v>0</v>
      </c>
      <c r="AC223" s="46">
        <f t="shared" si="42"/>
        <v>0</v>
      </c>
      <c r="AD223" s="46">
        <f t="shared" si="42"/>
        <v>0</v>
      </c>
      <c r="AE223" s="46">
        <f t="shared" si="42"/>
        <v>0</v>
      </c>
    </row>
    <row r="224" spans="1:31" ht="46.5" customHeight="1" thickBot="1">
      <c r="A224" s="156" t="s">
        <v>207</v>
      </c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57"/>
    </row>
    <row r="225" spans="1:31" ht="93.75" thickBot="1">
      <c r="A225" s="46">
        <v>55</v>
      </c>
      <c r="B225" s="45" t="s">
        <v>131</v>
      </c>
      <c r="C225" s="46"/>
      <c r="D225" s="51"/>
      <c r="E225" s="51">
        <v>15</v>
      </c>
      <c r="F225" s="51"/>
      <c r="G225" s="51"/>
      <c r="H225" s="51"/>
      <c r="I225" s="57"/>
      <c r="J225" s="57"/>
      <c r="K225" s="57"/>
      <c r="L225" s="57"/>
      <c r="M225" s="57"/>
      <c r="N225" s="57"/>
      <c r="O225" s="57">
        <v>11</v>
      </c>
      <c r="P225" s="57">
        <v>3</v>
      </c>
      <c r="Q225" s="57"/>
      <c r="R225" s="57">
        <v>4</v>
      </c>
      <c r="S225" s="57">
        <v>15</v>
      </c>
      <c r="T225" s="57">
        <v>100</v>
      </c>
      <c r="U225" s="57"/>
      <c r="V225" s="57"/>
      <c r="W225" s="57"/>
      <c r="X225" s="57"/>
      <c r="Y225" s="57"/>
      <c r="Z225" s="57"/>
      <c r="AA225" s="57"/>
      <c r="AB225" s="57"/>
      <c r="AC225" s="57"/>
      <c r="AD225" s="65"/>
      <c r="AE225" s="46"/>
    </row>
    <row r="226" spans="1:31" ht="47.25" thickBot="1">
      <c r="A226" s="46">
        <v>13</v>
      </c>
      <c r="B226" s="50" t="s">
        <v>9</v>
      </c>
      <c r="C226" s="46"/>
      <c r="D226" s="57"/>
      <c r="E226" s="57"/>
      <c r="F226" s="57"/>
      <c r="G226" s="57"/>
      <c r="H226" s="51"/>
      <c r="I226" s="51"/>
      <c r="J226" s="51"/>
      <c r="K226" s="51"/>
      <c r="L226" s="51"/>
      <c r="M226" s="51"/>
      <c r="N226" s="52"/>
      <c r="O226" s="46">
        <v>9</v>
      </c>
      <c r="P226" s="52"/>
      <c r="Q226" s="46"/>
      <c r="R226" s="52"/>
      <c r="S226" s="46"/>
      <c r="T226" s="46"/>
      <c r="U226" s="52"/>
      <c r="V226" s="46"/>
      <c r="W226" s="52"/>
      <c r="X226" s="46"/>
      <c r="Y226" s="46"/>
      <c r="Z226" s="52"/>
      <c r="AA226" s="46">
        <v>0.5</v>
      </c>
      <c r="AB226" s="46"/>
      <c r="AC226" s="52"/>
      <c r="AD226" s="46"/>
      <c r="AE226" s="51"/>
    </row>
    <row r="227" spans="1:31" ht="47.25" thickBot="1">
      <c r="A227" s="44">
        <v>21</v>
      </c>
      <c r="B227" s="73" t="s">
        <v>38</v>
      </c>
      <c r="C227" s="44"/>
      <c r="D227" s="51"/>
      <c r="E227" s="44"/>
      <c r="F227" s="44"/>
      <c r="G227" s="44"/>
      <c r="H227" s="51"/>
      <c r="I227" s="51"/>
      <c r="J227" s="51"/>
      <c r="K227" s="51"/>
      <c r="L227" s="51"/>
      <c r="M227" s="51"/>
      <c r="N227" s="52"/>
      <c r="O227" s="46"/>
      <c r="P227" s="52"/>
      <c r="Q227" s="46"/>
      <c r="R227" s="52"/>
      <c r="S227" s="46">
        <v>145</v>
      </c>
      <c r="T227" s="52"/>
      <c r="U227" s="46"/>
      <c r="V227" s="46"/>
      <c r="W227" s="52"/>
      <c r="X227" s="46"/>
      <c r="Y227" s="46"/>
      <c r="Z227" s="52"/>
      <c r="AA227" s="46"/>
      <c r="AB227" s="46"/>
      <c r="AC227" s="52"/>
      <c r="AD227" s="46"/>
      <c r="AE227" s="51"/>
    </row>
    <row r="228" spans="1:31" ht="233.25" thickBot="1">
      <c r="A228" s="44" t="s">
        <v>45</v>
      </c>
      <c r="B228" s="45" t="s">
        <v>134</v>
      </c>
      <c r="C228" s="46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>
        <v>12</v>
      </c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</row>
    <row r="229" spans="1:31" ht="47.25" thickBot="1">
      <c r="A229" s="69"/>
      <c r="B229" s="45" t="s">
        <v>8</v>
      </c>
      <c r="C229" s="46">
        <f>SUM(C225:C228)</f>
        <v>0</v>
      </c>
      <c r="D229" s="46">
        <f aca="true" t="shared" si="43" ref="D229:AE229">SUM(D225:D228)</f>
        <v>0</v>
      </c>
      <c r="E229" s="46">
        <f t="shared" si="43"/>
        <v>15</v>
      </c>
      <c r="F229" s="46">
        <f t="shared" si="43"/>
        <v>0</v>
      </c>
      <c r="G229" s="46">
        <f t="shared" si="43"/>
        <v>0</v>
      </c>
      <c r="H229" s="46">
        <f t="shared" si="43"/>
        <v>0</v>
      </c>
      <c r="I229" s="46">
        <f t="shared" si="43"/>
        <v>0</v>
      </c>
      <c r="J229" s="46">
        <f t="shared" si="43"/>
        <v>0</v>
      </c>
      <c r="K229" s="46">
        <f t="shared" si="43"/>
        <v>0</v>
      </c>
      <c r="L229" s="46">
        <f t="shared" si="43"/>
        <v>0</v>
      </c>
      <c r="M229" s="46">
        <f t="shared" si="43"/>
        <v>0</v>
      </c>
      <c r="N229" s="46">
        <f t="shared" si="43"/>
        <v>12</v>
      </c>
      <c r="O229" s="46">
        <f t="shared" si="43"/>
        <v>20</v>
      </c>
      <c r="P229" s="46">
        <f t="shared" si="43"/>
        <v>3</v>
      </c>
      <c r="Q229" s="46">
        <f t="shared" si="43"/>
        <v>0</v>
      </c>
      <c r="R229" s="46">
        <f t="shared" si="43"/>
        <v>4</v>
      </c>
      <c r="S229" s="46">
        <f t="shared" si="43"/>
        <v>160</v>
      </c>
      <c r="T229" s="46">
        <f t="shared" si="43"/>
        <v>100</v>
      </c>
      <c r="U229" s="46">
        <f t="shared" si="43"/>
        <v>0</v>
      </c>
      <c r="V229" s="46">
        <f t="shared" si="43"/>
        <v>0</v>
      </c>
      <c r="W229" s="46">
        <f t="shared" si="43"/>
        <v>0</v>
      </c>
      <c r="X229" s="46">
        <f t="shared" si="43"/>
        <v>0</v>
      </c>
      <c r="Y229" s="46">
        <f t="shared" si="43"/>
        <v>0</v>
      </c>
      <c r="Z229" s="46">
        <f t="shared" si="43"/>
        <v>0</v>
      </c>
      <c r="AA229" s="46">
        <f t="shared" si="43"/>
        <v>0.5</v>
      </c>
      <c r="AB229" s="46">
        <f t="shared" si="43"/>
        <v>0</v>
      </c>
      <c r="AC229" s="46">
        <f t="shared" si="43"/>
        <v>0</v>
      </c>
      <c r="AD229" s="46">
        <f t="shared" si="43"/>
        <v>0</v>
      </c>
      <c r="AE229" s="46">
        <f t="shared" si="43"/>
        <v>0</v>
      </c>
    </row>
    <row r="230" spans="1:31" ht="93.75" thickBot="1">
      <c r="A230" s="95"/>
      <c r="B230" s="45" t="s">
        <v>145</v>
      </c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>
        <v>4</v>
      </c>
      <c r="AE230" s="46"/>
    </row>
    <row r="231" spans="1:31" ht="47.25" thickBot="1">
      <c r="A231" s="44"/>
      <c r="B231" s="74" t="s">
        <v>12</v>
      </c>
      <c r="C231" s="46">
        <f>SUM(C209+C213+C223+C229)</f>
        <v>45</v>
      </c>
      <c r="D231" s="46">
        <f aca="true" t="shared" si="44" ref="D231:AE231">SUM(D209+D213+D223+D229)</f>
        <v>40</v>
      </c>
      <c r="E231" s="46">
        <f t="shared" si="44"/>
        <v>20.3</v>
      </c>
      <c r="F231" s="46">
        <f t="shared" si="44"/>
        <v>0</v>
      </c>
      <c r="G231" s="46">
        <f t="shared" si="44"/>
        <v>19</v>
      </c>
      <c r="H231" s="46">
        <f t="shared" si="44"/>
        <v>0</v>
      </c>
      <c r="I231" s="46">
        <f t="shared" si="44"/>
        <v>106</v>
      </c>
      <c r="J231" s="46">
        <f t="shared" si="44"/>
        <v>171.7</v>
      </c>
      <c r="K231" s="46">
        <f t="shared" si="44"/>
        <v>90</v>
      </c>
      <c r="L231" s="46">
        <f t="shared" si="44"/>
        <v>100</v>
      </c>
      <c r="M231" s="46">
        <f t="shared" si="44"/>
        <v>20</v>
      </c>
      <c r="N231" s="46">
        <f t="shared" si="44"/>
        <v>12</v>
      </c>
      <c r="O231" s="46">
        <f t="shared" si="44"/>
        <v>38</v>
      </c>
      <c r="P231" s="46">
        <f t="shared" si="44"/>
        <v>19.5</v>
      </c>
      <c r="Q231" s="46">
        <f t="shared" si="44"/>
        <v>8</v>
      </c>
      <c r="R231" s="46">
        <f t="shared" si="44"/>
        <v>6</v>
      </c>
      <c r="S231" s="46">
        <f t="shared" si="44"/>
        <v>302</v>
      </c>
      <c r="T231" s="46">
        <f t="shared" si="44"/>
        <v>100</v>
      </c>
      <c r="U231" s="46">
        <f t="shared" si="44"/>
        <v>0</v>
      </c>
      <c r="V231" s="46">
        <f t="shared" si="44"/>
        <v>45</v>
      </c>
      <c r="W231" s="46">
        <f t="shared" si="44"/>
        <v>0</v>
      </c>
      <c r="X231" s="46">
        <f t="shared" si="44"/>
        <v>46</v>
      </c>
      <c r="Y231" s="46">
        <f t="shared" si="44"/>
        <v>6</v>
      </c>
      <c r="Z231" s="46">
        <f t="shared" si="44"/>
        <v>9.6</v>
      </c>
      <c r="AA231" s="46">
        <f t="shared" si="44"/>
        <v>0.5</v>
      </c>
      <c r="AB231" s="46">
        <f t="shared" si="44"/>
        <v>2</v>
      </c>
      <c r="AC231" s="46">
        <f t="shared" si="44"/>
        <v>0</v>
      </c>
      <c r="AD231" s="46">
        <v>4</v>
      </c>
      <c r="AE231" s="46">
        <f t="shared" si="44"/>
        <v>0</v>
      </c>
    </row>
    <row r="232" spans="1:31" ht="46.5" customHeight="1" thickBot="1">
      <c r="A232" s="156" t="s">
        <v>259</v>
      </c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57"/>
    </row>
    <row r="233" spans="1:31" ht="47.25" thickBot="1">
      <c r="A233" s="165" t="s">
        <v>22</v>
      </c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7"/>
    </row>
    <row r="234" spans="1:31" ht="45.75" customHeight="1">
      <c r="A234" s="168" t="s">
        <v>39</v>
      </c>
      <c r="B234" s="170" t="s">
        <v>26</v>
      </c>
      <c r="C234" s="154" t="s">
        <v>114</v>
      </c>
      <c r="D234" s="154" t="s">
        <v>115</v>
      </c>
      <c r="E234" s="154" t="s">
        <v>116</v>
      </c>
      <c r="F234" s="154" t="s">
        <v>117</v>
      </c>
      <c r="G234" s="154" t="s">
        <v>109</v>
      </c>
      <c r="H234" s="154" t="s">
        <v>118</v>
      </c>
      <c r="I234" s="154" t="s">
        <v>246</v>
      </c>
      <c r="J234" s="154" t="s">
        <v>247</v>
      </c>
      <c r="K234" s="90"/>
      <c r="L234" s="154" t="s">
        <v>217</v>
      </c>
      <c r="M234" s="154" t="s">
        <v>121</v>
      </c>
      <c r="N234" s="154" t="s">
        <v>81</v>
      </c>
      <c r="O234" s="154" t="s">
        <v>82</v>
      </c>
      <c r="P234" s="154" t="s">
        <v>122</v>
      </c>
      <c r="Q234" s="154" t="s">
        <v>83</v>
      </c>
      <c r="R234" s="154" t="s">
        <v>123</v>
      </c>
      <c r="S234" s="154" t="s">
        <v>126</v>
      </c>
      <c r="T234" s="154" t="s">
        <v>143</v>
      </c>
      <c r="U234" s="90"/>
      <c r="V234" s="154" t="s">
        <v>248</v>
      </c>
      <c r="W234" s="154" t="s">
        <v>249</v>
      </c>
      <c r="X234" s="154" t="s">
        <v>250</v>
      </c>
      <c r="Y234" s="154" t="s">
        <v>84</v>
      </c>
      <c r="Z234" s="154" t="s">
        <v>85</v>
      </c>
      <c r="AA234" s="154" t="s">
        <v>89</v>
      </c>
      <c r="AB234" s="90"/>
      <c r="AC234" s="154" t="s">
        <v>124</v>
      </c>
      <c r="AD234" s="154" t="s">
        <v>86</v>
      </c>
      <c r="AE234" s="154" t="s">
        <v>125</v>
      </c>
    </row>
    <row r="235" spans="1:31" ht="344.25" thickBot="1">
      <c r="A235" s="169"/>
      <c r="B235" s="171"/>
      <c r="C235" s="155"/>
      <c r="D235" s="155"/>
      <c r="E235" s="155"/>
      <c r="F235" s="155"/>
      <c r="G235" s="155"/>
      <c r="H235" s="155"/>
      <c r="I235" s="155"/>
      <c r="J235" s="155"/>
      <c r="K235" s="91" t="s">
        <v>119</v>
      </c>
      <c r="L235" s="155"/>
      <c r="M235" s="155"/>
      <c r="N235" s="155"/>
      <c r="O235" s="155"/>
      <c r="P235" s="155"/>
      <c r="Q235" s="155"/>
      <c r="R235" s="155"/>
      <c r="S235" s="155"/>
      <c r="T235" s="155"/>
      <c r="U235" s="91" t="s">
        <v>111</v>
      </c>
      <c r="V235" s="155"/>
      <c r="W235" s="155"/>
      <c r="X235" s="155"/>
      <c r="Y235" s="155"/>
      <c r="Z235" s="155"/>
      <c r="AA235" s="155"/>
      <c r="AB235" s="91" t="s">
        <v>110</v>
      </c>
      <c r="AC235" s="155"/>
      <c r="AD235" s="155"/>
      <c r="AE235" s="155"/>
    </row>
    <row r="236" spans="1:31" ht="47.25" thickBot="1">
      <c r="A236" s="95">
        <v>1</v>
      </c>
      <c r="B236" s="68">
        <v>2</v>
      </c>
      <c r="C236" s="69" t="s">
        <v>112</v>
      </c>
      <c r="D236" s="70">
        <v>4</v>
      </c>
      <c r="E236" s="69">
        <v>5</v>
      </c>
      <c r="F236" s="69">
        <v>6</v>
      </c>
      <c r="G236" s="69">
        <v>7</v>
      </c>
      <c r="H236" s="69">
        <v>8</v>
      </c>
      <c r="I236" s="69" t="s">
        <v>113</v>
      </c>
      <c r="J236" s="70">
        <v>10</v>
      </c>
      <c r="K236" s="69">
        <v>11</v>
      </c>
      <c r="L236" s="69">
        <v>12</v>
      </c>
      <c r="M236" s="69">
        <v>13</v>
      </c>
      <c r="N236" s="69">
        <v>14</v>
      </c>
      <c r="O236" s="69">
        <v>15</v>
      </c>
      <c r="P236" s="94">
        <v>16</v>
      </c>
      <c r="Q236" s="69">
        <v>17</v>
      </c>
      <c r="R236" s="94">
        <v>18</v>
      </c>
      <c r="S236" s="69">
        <v>19</v>
      </c>
      <c r="T236" s="94">
        <v>20</v>
      </c>
      <c r="U236" s="94">
        <v>21</v>
      </c>
      <c r="V236" s="69">
        <v>22</v>
      </c>
      <c r="W236" s="69">
        <v>23</v>
      </c>
      <c r="X236" s="94">
        <v>24</v>
      </c>
      <c r="Y236" s="69">
        <v>25</v>
      </c>
      <c r="Z236" s="69">
        <v>26</v>
      </c>
      <c r="AA236" s="69">
        <v>27</v>
      </c>
      <c r="AB236" s="94">
        <v>28</v>
      </c>
      <c r="AC236" s="69">
        <v>29</v>
      </c>
      <c r="AD236" s="69">
        <v>30</v>
      </c>
      <c r="AE236" s="92">
        <v>31</v>
      </c>
    </row>
    <row r="237" spans="1:31" ht="47.25" thickBot="1">
      <c r="A237" s="165" t="s">
        <v>7</v>
      </c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7"/>
    </row>
    <row r="238" spans="1:31" ht="47.25" thickBot="1">
      <c r="A238" s="46">
        <v>37</v>
      </c>
      <c r="B238" s="48" t="s">
        <v>53</v>
      </c>
      <c r="C238" s="46"/>
      <c r="D238" s="57"/>
      <c r="E238" s="57"/>
      <c r="F238" s="57"/>
      <c r="G238" s="57"/>
      <c r="H238" s="51"/>
      <c r="I238" s="51"/>
      <c r="J238" s="51"/>
      <c r="K238" s="51"/>
      <c r="L238" s="51"/>
      <c r="M238" s="51"/>
      <c r="N238" s="51"/>
      <c r="O238" s="51"/>
      <c r="P238" s="51">
        <v>4</v>
      </c>
      <c r="Q238" s="51"/>
      <c r="R238" s="51">
        <v>50</v>
      </c>
      <c r="S238" s="51">
        <v>30</v>
      </c>
      <c r="T238" s="52"/>
      <c r="U238" s="46"/>
      <c r="V238" s="52"/>
      <c r="W238" s="46"/>
      <c r="X238" s="51"/>
      <c r="Y238" s="51"/>
      <c r="Z238" s="51"/>
      <c r="AA238" s="51"/>
      <c r="AB238" s="51"/>
      <c r="AC238" s="51"/>
      <c r="AD238" s="51"/>
      <c r="AE238" s="51"/>
    </row>
    <row r="239" spans="1:31" ht="93.75" thickBot="1">
      <c r="A239" s="46">
        <v>38</v>
      </c>
      <c r="B239" s="45" t="s">
        <v>137</v>
      </c>
      <c r="C239" s="46"/>
      <c r="D239" s="51"/>
      <c r="E239" s="51"/>
      <c r="F239" s="51"/>
      <c r="G239" s="51"/>
      <c r="H239" s="51"/>
      <c r="I239" s="57"/>
      <c r="J239" s="57">
        <v>45</v>
      </c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</row>
    <row r="240" spans="1:31" ht="47.25" thickBot="1">
      <c r="A240" s="44">
        <v>15</v>
      </c>
      <c r="B240" s="45" t="s">
        <v>18</v>
      </c>
      <c r="C240" s="46"/>
      <c r="D240" s="57"/>
      <c r="E240" s="57"/>
      <c r="F240" s="57"/>
      <c r="G240" s="57"/>
      <c r="H240" s="51"/>
      <c r="I240" s="51"/>
      <c r="J240" s="51"/>
      <c r="K240" s="51"/>
      <c r="L240" s="51"/>
      <c r="M240" s="51"/>
      <c r="N240" s="52"/>
      <c r="O240" s="46">
        <v>9</v>
      </c>
      <c r="P240" s="52"/>
      <c r="Q240" s="46"/>
      <c r="R240" s="52"/>
      <c r="S240" s="52">
        <v>70</v>
      </c>
      <c r="T240" s="52"/>
      <c r="U240" s="44"/>
      <c r="V240" s="46"/>
      <c r="W240" s="44"/>
      <c r="X240" s="52"/>
      <c r="Y240" s="46"/>
      <c r="Z240" s="46"/>
      <c r="AA240" s="52"/>
      <c r="AB240" s="44"/>
      <c r="AC240" s="46">
        <v>1</v>
      </c>
      <c r="AD240" s="52"/>
      <c r="AE240" s="46"/>
    </row>
    <row r="241" spans="1:31" ht="47.25" thickBot="1">
      <c r="A241" s="44">
        <v>16</v>
      </c>
      <c r="B241" s="45" t="s">
        <v>54</v>
      </c>
      <c r="C241" s="51">
        <v>20</v>
      </c>
      <c r="D241" s="57"/>
      <c r="E241" s="57"/>
      <c r="F241" s="57"/>
      <c r="G241" s="57"/>
      <c r="H241" s="51"/>
      <c r="I241" s="51"/>
      <c r="J241" s="51"/>
      <c r="K241" s="51"/>
      <c r="L241" s="51"/>
      <c r="M241" s="51"/>
      <c r="N241" s="52"/>
      <c r="O241" s="46"/>
      <c r="P241" s="46">
        <v>4</v>
      </c>
      <c r="Q241" s="46"/>
      <c r="R241" s="52"/>
      <c r="S241" s="46"/>
      <c r="T241" s="52"/>
      <c r="U241" s="44"/>
      <c r="V241" s="46"/>
      <c r="W241" s="44"/>
      <c r="X241" s="52"/>
      <c r="Y241" s="46"/>
      <c r="Z241" s="46"/>
      <c r="AA241" s="52"/>
      <c r="AB241" s="44"/>
      <c r="AC241" s="46"/>
      <c r="AD241" s="52"/>
      <c r="AE241" s="46"/>
    </row>
    <row r="242" spans="1:31" ht="47.25" thickBot="1">
      <c r="A242" s="44"/>
      <c r="B242" s="45" t="s">
        <v>8</v>
      </c>
      <c r="C242" s="46">
        <f>SUM(C238+C239+C240+C241)</f>
        <v>20</v>
      </c>
      <c r="D242" s="46">
        <f aca="true" t="shared" si="45" ref="D242:AE242">SUM(D238+D239+D240+D241)</f>
        <v>0</v>
      </c>
      <c r="E242" s="46">
        <f t="shared" si="45"/>
        <v>0</v>
      </c>
      <c r="F242" s="46">
        <f t="shared" si="45"/>
        <v>0</v>
      </c>
      <c r="G242" s="46">
        <f t="shared" si="45"/>
        <v>0</v>
      </c>
      <c r="H242" s="46">
        <f t="shared" si="45"/>
        <v>0</v>
      </c>
      <c r="I242" s="46">
        <f t="shared" si="45"/>
        <v>0</v>
      </c>
      <c r="J242" s="46">
        <f t="shared" si="45"/>
        <v>45</v>
      </c>
      <c r="K242" s="46">
        <f t="shared" si="45"/>
        <v>0</v>
      </c>
      <c r="L242" s="46">
        <f t="shared" si="45"/>
        <v>0</v>
      </c>
      <c r="M242" s="46">
        <f t="shared" si="45"/>
        <v>0</v>
      </c>
      <c r="N242" s="46">
        <f t="shared" si="45"/>
        <v>0</v>
      </c>
      <c r="O242" s="46">
        <f t="shared" si="45"/>
        <v>9</v>
      </c>
      <c r="P242" s="46">
        <f t="shared" si="45"/>
        <v>8</v>
      </c>
      <c r="Q242" s="46">
        <f t="shared" si="45"/>
        <v>0</v>
      </c>
      <c r="R242" s="46">
        <f t="shared" si="45"/>
        <v>50</v>
      </c>
      <c r="S242" s="46">
        <f t="shared" si="45"/>
        <v>100</v>
      </c>
      <c r="T242" s="46">
        <f t="shared" si="45"/>
        <v>0</v>
      </c>
      <c r="U242" s="46">
        <f t="shared" si="45"/>
        <v>0</v>
      </c>
      <c r="V242" s="46">
        <f t="shared" si="45"/>
        <v>0</v>
      </c>
      <c r="W242" s="46">
        <f t="shared" si="45"/>
        <v>0</v>
      </c>
      <c r="X242" s="46">
        <f t="shared" si="45"/>
        <v>0</v>
      </c>
      <c r="Y242" s="46">
        <f t="shared" si="45"/>
        <v>0</v>
      </c>
      <c r="Z242" s="46">
        <f t="shared" si="45"/>
        <v>0</v>
      </c>
      <c r="AA242" s="46">
        <f t="shared" si="45"/>
        <v>0</v>
      </c>
      <c r="AB242" s="46">
        <f t="shared" si="45"/>
        <v>0</v>
      </c>
      <c r="AC242" s="46">
        <f t="shared" si="45"/>
        <v>1</v>
      </c>
      <c r="AD242" s="46">
        <f t="shared" si="45"/>
        <v>0</v>
      </c>
      <c r="AE242" s="46">
        <f t="shared" si="45"/>
        <v>0</v>
      </c>
    </row>
    <row r="243" spans="1:31" ht="47.25" thickBot="1">
      <c r="A243" s="156" t="s">
        <v>107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57"/>
    </row>
    <row r="244" spans="1:31" ht="47.25" thickBot="1">
      <c r="A244" s="44" t="s">
        <v>45</v>
      </c>
      <c r="B244" s="48" t="s">
        <v>108</v>
      </c>
      <c r="C244" s="46"/>
      <c r="D244" s="51"/>
      <c r="E244" s="51"/>
      <c r="F244" s="51"/>
      <c r="G244" s="51"/>
      <c r="H244" s="51"/>
      <c r="I244" s="51"/>
      <c r="J244" s="51"/>
      <c r="K244" s="51">
        <v>90</v>
      </c>
      <c r="L244" s="51"/>
      <c r="M244" s="51"/>
      <c r="N244" s="52"/>
      <c r="O244" s="46"/>
      <c r="P244" s="52"/>
      <c r="Q244" s="46"/>
      <c r="R244" s="52"/>
      <c r="S244" s="46"/>
      <c r="T244" s="52"/>
      <c r="U244" s="46"/>
      <c r="V244" s="46"/>
      <c r="W244" s="52"/>
      <c r="X244" s="46"/>
      <c r="Y244" s="46"/>
      <c r="Z244" s="52"/>
      <c r="AA244" s="46"/>
      <c r="AB244" s="52"/>
      <c r="AC244" s="46"/>
      <c r="AD244" s="46"/>
      <c r="AE244" s="51"/>
    </row>
    <row r="245" spans="1:31" ht="47.25" thickBot="1">
      <c r="A245" s="44" t="s">
        <v>45</v>
      </c>
      <c r="B245" s="45" t="s">
        <v>78</v>
      </c>
      <c r="C245" s="46"/>
      <c r="D245" s="57"/>
      <c r="E245" s="57"/>
      <c r="F245" s="57"/>
      <c r="G245" s="57"/>
      <c r="H245" s="51"/>
      <c r="I245" s="51"/>
      <c r="J245" s="51"/>
      <c r="K245" s="51"/>
      <c r="L245" s="51">
        <v>100</v>
      </c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46"/>
      <c r="AB245" s="51"/>
      <c r="AC245" s="51"/>
      <c r="AD245" s="51"/>
      <c r="AE245" s="51"/>
    </row>
    <row r="246" spans="1:31" ht="47.25" thickBot="1">
      <c r="A246" s="44"/>
      <c r="B246" s="45" t="s">
        <v>37</v>
      </c>
      <c r="C246" s="51">
        <f>SUM(C244:C245)</f>
        <v>0</v>
      </c>
      <c r="D246" s="51">
        <f aca="true" t="shared" si="46" ref="D246:M246">SUM(D244:D245)</f>
        <v>0</v>
      </c>
      <c r="E246" s="51">
        <f t="shared" si="46"/>
        <v>0</v>
      </c>
      <c r="F246" s="51">
        <f t="shared" si="46"/>
        <v>0</v>
      </c>
      <c r="G246" s="51">
        <f t="shared" si="46"/>
        <v>0</v>
      </c>
      <c r="H246" s="51">
        <f t="shared" si="46"/>
        <v>0</v>
      </c>
      <c r="I246" s="51">
        <f t="shared" si="46"/>
        <v>0</v>
      </c>
      <c r="J246" s="51">
        <f t="shared" si="46"/>
        <v>0</v>
      </c>
      <c r="K246" s="51">
        <f t="shared" si="46"/>
        <v>90</v>
      </c>
      <c r="L246" s="51">
        <f t="shared" si="46"/>
        <v>100</v>
      </c>
      <c r="M246" s="51">
        <f t="shared" si="46"/>
        <v>0</v>
      </c>
      <c r="N246" s="51">
        <f aca="true" t="shared" si="47" ref="N246:AD246">SUM(N244)</f>
        <v>0</v>
      </c>
      <c r="O246" s="51">
        <f t="shared" si="47"/>
        <v>0</v>
      </c>
      <c r="P246" s="51">
        <f t="shared" si="47"/>
        <v>0</v>
      </c>
      <c r="Q246" s="51">
        <f t="shared" si="47"/>
        <v>0</v>
      </c>
      <c r="R246" s="51">
        <f t="shared" si="47"/>
        <v>0</v>
      </c>
      <c r="S246" s="51">
        <f t="shared" si="47"/>
        <v>0</v>
      </c>
      <c r="T246" s="51">
        <f t="shared" si="47"/>
        <v>0</v>
      </c>
      <c r="U246" s="51">
        <f t="shared" si="47"/>
        <v>0</v>
      </c>
      <c r="V246" s="51">
        <f t="shared" si="47"/>
        <v>0</v>
      </c>
      <c r="W246" s="51">
        <f t="shared" si="47"/>
        <v>0</v>
      </c>
      <c r="X246" s="51">
        <f t="shared" si="47"/>
        <v>0</v>
      </c>
      <c r="Y246" s="51">
        <f t="shared" si="47"/>
        <v>0</v>
      </c>
      <c r="Z246" s="51">
        <f t="shared" si="47"/>
        <v>0</v>
      </c>
      <c r="AA246" s="51">
        <f t="shared" si="47"/>
        <v>0</v>
      </c>
      <c r="AB246" s="51">
        <f t="shared" si="47"/>
        <v>0</v>
      </c>
      <c r="AC246" s="51">
        <f t="shared" si="47"/>
        <v>0</v>
      </c>
      <c r="AD246" s="51">
        <f t="shared" si="47"/>
        <v>0</v>
      </c>
      <c r="AE246" s="51">
        <f>SUM(AE244)</f>
        <v>0</v>
      </c>
    </row>
    <row r="247" spans="1:31" ht="47.25" thickBot="1">
      <c r="A247" s="165" t="s">
        <v>10</v>
      </c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7"/>
    </row>
    <row r="248" spans="1:31" ht="93.75" thickBot="1">
      <c r="A248" s="46">
        <v>83</v>
      </c>
      <c r="B248" s="47" t="s">
        <v>130</v>
      </c>
      <c r="C248" s="46"/>
      <c r="D248" s="51"/>
      <c r="E248" s="51"/>
      <c r="F248" s="51"/>
      <c r="G248" s="51"/>
      <c r="H248" s="51"/>
      <c r="I248" s="51"/>
      <c r="J248" s="51">
        <v>42</v>
      </c>
      <c r="K248" s="51"/>
      <c r="L248" s="51"/>
      <c r="M248" s="51"/>
      <c r="N248" s="52"/>
      <c r="O248" s="44"/>
      <c r="P248" s="52"/>
      <c r="Q248" s="44">
        <v>5</v>
      </c>
      <c r="R248" s="52"/>
      <c r="S248" s="44"/>
      <c r="T248" s="52"/>
      <c r="U248" s="46"/>
      <c r="V248" s="44"/>
      <c r="W248" s="52"/>
      <c r="X248" s="46"/>
      <c r="Y248" s="44"/>
      <c r="Z248" s="52"/>
      <c r="AA248" s="44"/>
      <c r="AB248" s="46"/>
      <c r="AC248" s="52"/>
      <c r="AD248" s="44"/>
      <c r="AE248" s="92"/>
    </row>
    <row r="249" spans="1:31" ht="93.75" thickBot="1">
      <c r="A249" s="44">
        <v>41</v>
      </c>
      <c r="B249" s="45" t="s">
        <v>44</v>
      </c>
      <c r="C249" s="46"/>
      <c r="D249" s="51"/>
      <c r="E249" s="51"/>
      <c r="F249" s="51"/>
      <c r="G249" s="51"/>
      <c r="H249" s="51"/>
      <c r="I249" s="51">
        <v>69</v>
      </c>
      <c r="J249" s="51">
        <v>13</v>
      </c>
      <c r="K249" s="51"/>
      <c r="L249" s="51"/>
      <c r="M249" s="51"/>
      <c r="N249" s="44"/>
      <c r="O249" s="52"/>
      <c r="P249" s="44">
        <v>1.6</v>
      </c>
      <c r="Q249" s="52"/>
      <c r="R249" s="44">
        <v>2</v>
      </c>
      <c r="S249" s="52"/>
      <c r="T249" s="44"/>
      <c r="U249" s="44"/>
      <c r="V249" s="44">
        <v>32</v>
      </c>
      <c r="W249" s="52"/>
      <c r="X249" s="44"/>
      <c r="Y249" s="52"/>
      <c r="Z249" s="66"/>
      <c r="AA249" s="44"/>
      <c r="AB249" s="52"/>
      <c r="AC249" s="44"/>
      <c r="AD249" s="44"/>
      <c r="AE249" s="51"/>
    </row>
    <row r="250" spans="1:31" ht="47.25" thickBot="1">
      <c r="A250" s="44">
        <v>19</v>
      </c>
      <c r="B250" s="45" t="s">
        <v>72</v>
      </c>
      <c r="C250" s="46"/>
      <c r="D250" s="57"/>
      <c r="E250" s="57"/>
      <c r="F250" s="57"/>
      <c r="G250" s="57"/>
      <c r="H250" s="51"/>
      <c r="I250" s="51">
        <v>68</v>
      </c>
      <c r="J250" s="51">
        <v>28</v>
      </c>
      <c r="K250" s="51"/>
      <c r="L250" s="51"/>
      <c r="M250" s="51"/>
      <c r="N250" s="52"/>
      <c r="O250" s="46"/>
      <c r="P250" s="52"/>
      <c r="Q250" s="46">
        <v>3</v>
      </c>
      <c r="R250" s="52"/>
      <c r="S250" s="46"/>
      <c r="T250" s="52"/>
      <c r="U250" s="44"/>
      <c r="V250" s="46">
        <v>76</v>
      </c>
      <c r="W250" s="52"/>
      <c r="X250" s="44"/>
      <c r="Y250" s="46"/>
      <c r="Z250" s="46"/>
      <c r="AA250" s="52"/>
      <c r="AB250" s="44"/>
      <c r="AC250" s="46"/>
      <c r="AD250" s="52"/>
      <c r="AE250" s="46"/>
    </row>
    <row r="251" spans="1:31" ht="47.25" thickBot="1">
      <c r="A251" s="44">
        <v>20</v>
      </c>
      <c r="B251" s="45" t="s">
        <v>43</v>
      </c>
      <c r="C251" s="46"/>
      <c r="D251" s="57"/>
      <c r="E251" s="57"/>
      <c r="F251" s="57">
        <v>5.6</v>
      </c>
      <c r="G251" s="57"/>
      <c r="H251" s="51"/>
      <c r="I251" s="51"/>
      <c r="J251" s="51"/>
      <c r="K251" s="51"/>
      <c r="L251" s="51">
        <v>1.3</v>
      </c>
      <c r="M251" s="51"/>
      <c r="N251" s="52"/>
      <c r="O251" s="46">
        <v>11</v>
      </c>
      <c r="P251" s="52"/>
      <c r="Q251" s="46"/>
      <c r="R251" s="52"/>
      <c r="S251" s="46"/>
      <c r="T251" s="52"/>
      <c r="U251" s="44"/>
      <c r="V251" s="46"/>
      <c r="W251" s="52"/>
      <c r="X251" s="44"/>
      <c r="Y251" s="46"/>
      <c r="Z251" s="46"/>
      <c r="AA251" s="52"/>
      <c r="AB251" s="44"/>
      <c r="AC251" s="46"/>
      <c r="AD251" s="52"/>
      <c r="AE251" s="46"/>
    </row>
    <row r="252" spans="1:31" ht="47.25" thickBot="1">
      <c r="A252" s="44" t="s">
        <v>45</v>
      </c>
      <c r="B252" s="45" t="s">
        <v>114</v>
      </c>
      <c r="C252" s="51">
        <v>25</v>
      </c>
      <c r="D252" s="51"/>
      <c r="E252" s="51"/>
      <c r="F252" s="51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1"/>
    </row>
    <row r="253" spans="1:31" ht="47.25" thickBot="1">
      <c r="A253" s="44" t="s">
        <v>45</v>
      </c>
      <c r="B253" s="45" t="s">
        <v>144</v>
      </c>
      <c r="C253" s="46"/>
      <c r="D253" s="51">
        <v>40</v>
      </c>
      <c r="E253" s="51"/>
      <c r="F253" s="51"/>
      <c r="G253" s="51"/>
      <c r="H253" s="51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</row>
    <row r="254" spans="1:31" ht="47.25" thickBot="1">
      <c r="A254" s="46"/>
      <c r="B254" s="48" t="s">
        <v>37</v>
      </c>
      <c r="C254" s="46">
        <f>SUM(C248:C253)</f>
        <v>25</v>
      </c>
      <c r="D254" s="46">
        <f aca="true" t="shared" si="48" ref="D254:AE254">SUM(D248:D253)</f>
        <v>40</v>
      </c>
      <c r="E254" s="46">
        <f t="shared" si="48"/>
        <v>0</v>
      </c>
      <c r="F254" s="46">
        <f t="shared" si="48"/>
        <v>5.6</v>
      </c>
      <c r="G254" s="46">
        <f t="shared" si="48"/>
        <v>0</v>
      </c>
      <c r="H254" s="46">
        <f t="shared" si="48"/>
        <v>0</v>
      </c>
      <c r="I254" s="46">
        <f t="shared" si="48"/>
        <v>137</v>
      </c>
      <c r="J254" s="46">
        <f t="shared" si="48"/>
        <v>83</v>
      </c>
      <c r="K254" s="46">
        <f t="shared" si="48"/>
        <v>0</v>
      </c>
      <c r="L254" s="46">
        <f t="shared" si="48"/>
        <v>1.3</v>
      </c>
      <c r="M254" s="46">
        <f t="shared" si="48"/>
        <v>0</v>
      </c>
      <c r="N254" s="46">
        <f t="shared" si="48"/>
        <v>0</v>
      </c>
      <c r="O254" s="46">
        <f t="shared" si="48"/>
        <v>11</v>
      </c>
      <c r="P254" s="46">
        <f t="shared" si="48"/>
        <v>1.6</v>
      </c>
      <c r="Q254" s="46">
        <f t="shared" si="48"/>
        <v>8</v>
      </c>
      <c r="R254" s="46">
        <f t="shared" si="48"/>
        <v>2</v>
      </c>
      <c r="S254" s="46">
        <f t="shared" si="48"/>
        <v>0</v>
      </c>
      <c r="T254" s="46">
        <f t="shared" si="48"/>
        <v>0</v>
      </c>
      <c r="U254" s="46">
        <f t="shared" si="48"/>
        <v>0</v>
      </c>
      <c r="V254" s="46">
        <f t="shared" si="48"/>
        <v>108</v>
      </c>
      <c r="W254" s="46">
        <f t="shared" si="48"/>
        <v>0</v>
      </c>
      <c r="X254" s="46">
        <f t="shared" si="48"/>
        <v>0</v>
      </c>
      <c r="Y254" s="46">
        <f t="shared" si="48"/>
        <v>0</v>
      </c>
      <c r="Z254" s="46">
        <f t="shared" si="48"/>
        <v>0</v>
      </c>
      <c r="AA254" s="46">
        <f t="shared" si="48"/>
        <v>0</v>
      </c>
      <c r="AB254" s="46">
        <f t="shared" si="48"/>
        <v>0</v>
      </c>
      <c r="AC254" s="46">
        <f t="shared" si="48"/>
        <v>0</v>
      </c>
      <c r="AD254" s="46">
        <f t="shared" si="48"/>
        <v>0</v>
      </c>
      <c r="AE254" s="46">
        <f t="shared" si="48"/>
        <v>0</v>
      </c>
    </row>
    <row r="255" spans="1:31" ht="47.25" thickBot="1">
      <c r="A255" s="156" t="s">
        <v>207</v>
      </c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57"/>
      <c r="AE255" s="51"/>
    </row>
    <row r="256" spans="1:31" ht="93.75" thickBot="1">
      <c r="A256" s="46">
        <v>29</v>
      </c>
      <c r="B256" s="45" t="s">
        <v>75</v>
      </c>
      <c r="C256" s="51">
        <v>16</v>
      </c>
      <c r="D256" s="51"/>
      <c r="E256" s="51"/>
      <c r="F256" s="51"/>
      <c r="G256" s="51"/>
      <c r="H256" s="51"/>
      <c r="I256" s="51"/>
      <c r="J256" s="51">
        <v>5</v>
      </c>
      <c r="K256" s="51"/>
      <c r="L256" s="51"/>
      <c r="M256" s="51"/>
      <c r="N256" s="51"/>
      <c r="O256" s="51"/>
      <c r="P256" s="51"/>
      <c r="Q256" s="51">
        <v>3.5</v>
      </c>
      <c r="R256" s="51">
        <v>9</v>
      </c>
      <c r="S256" s="51">
        <v>10</v>
      </c>
      <c r="T256" s="51"/>
      <c r="U256" s="51"/>
      <c r="V256" s="51"/>
      <c r="W256" s="51"/>
      <c r="X256" s="51">
        <v>46</v>
      </c>
      <c r="Y256" s="51"/>
      <c r="Z256" s="51"/>
      <c r="AA256" s="51"/>
      <c r="AB256" s="51"/>
      <c r="AC256" s="51"/>
      <c r="AD256" s="51"/>
      <c r="AE256" s="51"/>
    </row>
    <row r="257" spans="1:31" ht="47.25" thickBot="1">
      <c r="A257" s="46">
        <v>79</v>
      </c>
      <c r="B257" s="45" t="s">
        <v>135</v>
      </c>
      <c r="C257" s="46"/>
      <c r="D257" s="51"/>
      <c r="E257" s="51"/>
      <c r="F257" s="51"/>
      <c r="G257" s="51"/>
      <c r="H257" s="51"/>
      <c r="I257" s="51"/>
      <c r="J257" s="51">
        <v>142</v>
      </c>
      <c r="K257" s="51"/>
      <c r="L257" s="51"/>
      <c r="M257" s="51"/>
      <c r="N257" s="52"/>
      <c r="O257" s="44"/>
      <c r="P257" s="52">
        <v>8</v>
      </c>
      <c r="Q257" s="44"/>
      <c r="R257" s="52"/>
      <c r="S257" s="44"/>
      <c r="T257" s="52"/>
      <c r="U257" s="44"/>
      <c r="V257" s="44"/>
      <c r="W257" s="52"/>
      <c r="X257" s="44"/>
      <c r="Y257" s="44"/>
      <c r="Z257" s="52"/>
      <c r="AA257" s="44"/>
      <c r="AB257" s="44"/>
      <c r="AC257" s="52"/>
      <c r="AD257" s="44"/>
      <c r="AE257" s="51"/>
    </row>
    <row r="258" spans="1:31" ht="47.25" thickBot="1">
      <c r="A258" s="49">
        <v>31</v>
      </c>
      <c r="B258" s="50" t="s">
        <v>11</v>
      </c>
      <c r="C258" s="46"/>
      <c r="D258" s="51"/>
      <c r="E258" s="51"/>
      <c r="F258" s="51"/>
      <c r="G258" s="51"/>
      <c r="H258" s="51"/>
      <c r="I258" s="51"/>
      <c r="J258" s="51"/>
      <c r="K258" s="51"/>
      <c r="L258" s="51">
        <v>5</v>
      </c>
      <c r="M258" s="51"/>
      <c r="N258" s="51"/>
      <c r="O258" s="46">
        <v>9</v>
      </c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46">
        <v>0.5</v>
      </c>
      <c r="AB258" s="51"/>
      <c r="AC258" s="51"/>
      <c r="AD258" s="52"/>
      <c r="AE258" s="44"/>
    </row>
    <row r="259" spans="1:31" ht="47.25" thickBot="1">
      <c r="A259" s="44" t="s">
        <v>45</v>
      </c>
      <c r="B259" s="45" t="s">
        <v>114</v>
      </c>
      <c r="C259" s="51">
        <v>20</v>
      </c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</row>
    <row r="260" spans="1:31" ht="47.25" thickBot="1">
      <c r="A260" s="44">
        <v>21</v>
      </c>
      <c r="B260" s="73" t="s">
        <v>38</v>
      </c>
      <c r="C260" s="44"/>
      <c r="D260" s="51"/>
      <c r="E260" s="44"/>
      <c r="F260" s="44"/>
      <c r="G260" s="44"/>
      <c r="H260" s="51"/>
      <c r="I260" s="51"/>
      <c r="J260" s="51"/>
      <c r="K260" s="51"/>
      <c r="L260" s="51"/>
      <c r="M260" s="51"/>
      <c r="N260" s="52"/>
      <c r="O260" s="46"/>
      <c r="P260" s="52"/>
      <c r="Q260" s="46"/>
      <c r="R260" s="52"/>
      <c r="S260" s="46">
        <v>145</v>
      </c>
      <c r="T260" s="52"/>
      <c r="U260" s="46"/>
      <c r="V260" s="46"/>
      <c r="W260" s="52"/>
      <c r="X260" s="46"/>
      <c r="Y260" s="46"/>
      <c r="Z260" s="52"/>
      <c r="AA260" s="46"/>
      <c r="AB260" s="46"/>
      <c r="AC260" s="52"/>
      <c r="AD260" s="46"/>
      <c r="AE260" s="51"/>
    </row>
    <row r="261" spans="1:31" ht="93.75" thickBot="1">
      <c r="A261" s="49">
        <v>43</v>
      </c>
      <c r="B261" s="50" t="s">
        <v>88</v>
      </c>
      <c r="C261" s="46"/>
      <c r="D261" s="57"/>
      <c r="E261" s="57">
        <v>27.9</v>
      </c>
      <c r="F261" s="57"/>
      <c r="G261" s="57"/>
      <c r="H261" s="51"/>
      <c r="I261" s="51"/>
      <c r="J261" s="51">
        <v>33.7</v>
      </c>
      <c r="K261" s="51"/>
      <c r="L261" s="51"/>
      <c r="M261" s="51"/>
      <c r="N261" s="51"/>
      <c r="O261" s="51">
        <v>1.7</v>
      </c>
      <c r="P261" s="51">
        <v>3</v>
      </c>
      <c r="Q261" s="51">
        <v>2.3</v>
      </c>
      <c r="R261" s="51">
        <v>3</v>
      </c>
      <c r="S261" s="51">
        <v>7</v>
      </c>
      <c r="T261" s="51"/>
      <c r="U261" s="51"/>
      <c r="V261" s="51"/>
      <c r="W261" s="51"/>
      <c r="X261" s="51"/>
      <c r="Y261" s="51"/>
      <c r="Z261" s="51"/>
      <c r="AA261" s="51"/>
      <c r="AB261" s="44"/>
      <c r="AC261" s="51"/>
      <c r="AD261" s="51"/>
      <c r="AE261" s="92">
        <v>1</v>
      </c>
    </row>
    <row r="262" spans="1:31" ht="47.25" thickBot="1">
      <c r="A262" s="69"/>
      <c r="B262" s="45" t="s">
        <v>8</v>
      </c>
      <c r="C262" s="46">
        <f>SUM(C256:C261)</f>
        <v>36</v>
      </c>
      <c r="D262" s="46">
        <f aca="true" t="shared" si="49" ref="D262:AE262">SUM(D256:D261)</f>
        <v>0</v>
      </c>
      <c r="E262" s="46">
        <f t="shared" si="49"/>
        <v>27.9</v>
      </c>
      <c r="F262" s="46">
        <f t="shared" si="49"/>
        <v>0</v>
      </c>
      <c r="G262" s="46">
        <f t="shared" si="49"/>
        <v>0</v>
      </c>
      <c r="H262" s="46">
        <f t="shared" si="49"/>
        <v>0</v>
      </c>
      <c r="I262" s="46">
        <f t="shared" si="49"/>
        <v>0</v>
      </c>
      <c r="J262" s="46">
        <f t="shared" si="49"/>
        <v>180.7</v>
      </c>
      <c r="K262" s="46">
        <f t="shared" si="49"/>
        <v>0</v>
      </c>
      <c r="L262" s="46">
        <f t="shared" si="49"/>
        <v>5</v>
      </c>
      <c r="M262" s="46">
        <f t="shared" si="49"/>
        <v>0</v>
      </c>
      <c r="N262" s="46">
        <f t="shared" si="49"/>
        <v>0</v>
      </c>
      <c r="O262" s="46">
        <f t="shared" si="49"/>
        <v>10.7</v>
      </c>
      <c r="P262" s="46">
        <f t="shared" si="49"/>
        <v>11</v>
      </c>
      <c r="Q262" s="46">
        <f t="shared" si="49"/>
        <v>5.8</v>
      </c>
      <c r="R262" s="46">
        <f t="shared" si="49"/>
        <v>12</v>
      </c>
      <c r="S262" s="46">
        <f t="shared" si="49"/>
        <v>162</v>
      </c>
      <c r="T262" s="46">
        <f t="shared" si="49"/>
        <v>0</v>
      </c>
      <c r="U262" s="46">
        <f t="shared" si="49"/>
        <v>0</v>
      </c>
      <c r="V262" s="46">
        <f t="shared" si="49"/>
        <v>0</v>
      </c>
      <c r="W262" s="46">
        <f t="shared" si="49"/>
        <v>0</v>
      </c>
      <c r="X262" s="46">
        <f t="shared" si="49"/>
        <v>46</v>
      </c>
      <c r="Y262" s="46">
        <f t="shared" si="49"/>
        <v>0</v>
      </c>
      <c r="Z262" s="46">
        <f t="shared" si="49"/>
        <v>0</v>
      </c>
      <c r="AA262" s="46">
        <f t="shared" si="49"/>
        <v>0.5</v>
      </c>
      <c r="AB262" s="46">
        <f t="shared" si="49"/>
        <v>0</v>
      </c>
      <c r="AC262" s="46">
        <f t="shared" si="49"/>
        <v>0</v>
      </c>
      <c r="AD262" s="46">
        <f t="shared" si="49"/>
        <v>0</v>
      </c>
      <c r="AE262" s="46">
        <f t="shared" si="49"/>
        <v>1</v>
      </c>
    </row>
    <row r="263" spans="1:31" ht="93.75" thickBot="1">
      <c r="A263" s="95"/>
      <c r="B263" s="45" t="s">
        <v>145</v>
      </c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>
        <v>4</v>
      </c>
      <c r="AE263" s="46"/>
    </row>
    <row r="264" spans="1:31" ht="47.25" thickBot="1">
      <c r="A264" s="44"/>
      <c r="B264" s="74" t="s">
        <v>12</v>
      </c>
      <c r="C264" s="46">
        <f>SUM(C242+C246+C254+C262)</f>
        <v>81</v>
      </c>
      <c r="D264" s="46">
        <f aca="true" t="shared" si="50" ref="D264:AE264">SUM(D242+D246+D254+D262)</f>
        <v>40</v>
      </c>
      <c r="E264" s="46">
        <f t="shared" si="50"/>
        <v>27.9</v>
      </c>
      <c r="F264" s="46">
        <f t="shared" si="50"/>
        <v>5.6</v>
      </c>
      <c r="G264" s="46">
        <f t="shared" si="50"/>
        <v>0</v>
      </c>
      <c r="H264" s="46">
        <f t="shared" si="50"/>
        <v>0</v>
      </c>
      <c r="I264" s="46">
        <f t="shared" si="50"/>
        <v>137</v>
      </c>
      <c r="J264" s="46">
        <f t="shared" si="50"/>
        <v>308.7</v>
      </c>
      <c r="K264" s="46">
        <f t="shared" si="50"/>
        <v>90</v>
      </c>
      <c r="L264" s="46">
        <f t="shared" si="50"/>
        <v>106.3</v>
      </c>
      <c r="M264" s="46">
        <f t="shared" si="50"/>
        <v>0</v>
      </c>
      <c r="N264" s="46">
        <f t="shared" si="50"/>
        <v>0</v>
      </c>
      <c r="O264" s="46">
        <f t="shared" si="50"/>
        <v>30.7</v>
      </c>
      <c r="P264" s="46">
        <f t="shared" si="50"/>
        <v>20.6</v>
      </c>
      <c r="Q264" s="46">
        <f t="shared" si="50"/>
        <v>13.8</v>
      </c>
      <c r="R264" s="46">
        <f t="shared" si="50"/>
        <v>64</v>
      </c>
      <c r="S264" s="46">
        <f t="shared" si="50"/>
        <v>262</v>
      </c>
      <c r="T264" s="46">
        <f t="shared" si="50"/>
        <v>0</v>
      </c>
      <c r="U264" s="46">
        <f t="shared" si="50"/>
        <v>0</v>
      </c>
      <c r="V264" s="46">
        <f t="shared" si="50"/>
        <v>108</v>
      </c>
      <c r="W264" s="46">
        <f t="shared" si="50"/>
        <v>0</v>
      </c>
      <c r="X264" s="46">
        <f t="shared" si="50"/>
        <v>46</v>
      </c>
      <c r="Y264" s="46">
        <f t="shared" si="50"/>
        <v>0</v>
      </c>
      <c r="Z264" s="46">
        <f t="shared" si="50"/>
        <v>0</v>
      </c>
      <c r="AA264" s="46">
        <f t="shared" si="50"/>
        <v>0.5</v>
      </c>
      <c r="AB264" s="46">
        <f t="shared" si="50"/>
        <v>0</v>
      </c>
      <c r="AC264" s="46">
        <f t="shared" si="50"/>
        <v>1</v>
      </c>
      <c r="AD264" s="46">
        <v>4</v>
      </c>
      <c r="AE264" s="46">
        <f t="shared" si="50"/>
        <v>1</v>
      </c>
    </row>
    <row r="265" spans="1:31" ht="46.5" customHeight="1" thickBot="1">
      <c r="A265" s="156" t="s">
        <v>259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57"/>
    </row>
    <row r="266" spans="1:31" ht="47.25" thickBot="1">
      <c r="A266" s="165" t="s">
        <v>24</v>
      </c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7"/>
    </row>
    <row r="267" spans="1:31" ht="45.75" customHeight="1">
      <c r="A267" s="168" t="s">
        <v>39</v>
      </c>
      <c r="B267" s="170" t="s">
        <v>26</v>
      </c>
      <c r="C267" s="154" t="s">
        <v>114</v>
      </c>
      <c r="D267" s="154" t="s">
        <v>115</v>
      </c>
      <c r="E267" s="154" t="s">
        <v>116</v>
      </c>
      <c r="F267" s="154" t="s">
        <v>117</v>
      </c>
      <c r="G267" s="154" t="s">
        <v>109</v>
      </c>
      <c r="H267" s="154" t="s">
        <v>118</v>
      </c>
      <c r="I267" s="154" t="s">
        <v>246</v>
      </c>
      <c r="J267" s="154" t="s">
        <v>247</v>
      </c>
      <c r="K267" s="90"/>
      <c r="L267" s="154" t="s">
        <v>217</v>
      </c>
      <c r="M267" s="154" t="s">
        <v>121</v>
      </c>
      <c r="N267" s="154" t="s">
        <v>81</v>
      </c>
      <c r="O267" s="154" t="s">
        <v>82</v>
      </c>
      <c r="P267" s="154" t="s">
        <v>122</v>
      </c>
      <c r="Q267" s="154" t="s">
        <v>83</v>
      </c>
      <c r="R267" s="154" t="s">
        <v>123</v>
      </c>
      <c r="S267" s="154" t="s">
        <v>126</v>
      </c>
      <c r="T267" s="154" t="s">
        <v>143</v>
      </c>
      <c r="U267" s="90"/>
      <c r="V267" s="154" t="s">
        <v>248</v>
      </c>
      <c r="W267" s="154" t="s">
        <v>249</v>
      </c>
      <c r="X267" s="154" t="s">
        <v>250</v>
      </c>
      <c r="Y267" s="154" t="s">
        <v>84</v>
      </c>
      <c r="Z267" s="154" t="s">
        <v>85</v>
      </c>
      <c r="AA267" s="154" t="s">
        <v>89</v>
      </c>
      <c r="AB267" s="90"/>
      <c r="AC267" s="154" t="s">
        <v>124</v>
      </c>
      <c r="AD267" s="154" t="s">
        <v>86</v>
      </c>
      <c r="AE267" s="154" t="s">
        <v>125</v>
      </c>
    </row>
    <row r="268" spans="1:31" ht="344.25" thickBot="1">
      <c r="A268" s="169"/>
      <c r="B268" s="171"/>
      <c r="C268" s="155"/>
      <c r="D268" s="155"/>
      <c r="E268" s="155"/>
      <c r="F268" s="155"/>
      <c r="G268" s="155"/>
      <c r="H268" s="155"/>
      <c r="I268" s="155"/>
      <c r="J268" s="155"/>
      <c r="K268" s="91" t="s">
        <v>119</v>
      </c>
      <c r="L268" s="155"/>
      <c r="M268" s="155"/>
      <c r="N268" s="155"/>
      <c r="O268" s="155"/>
      <c r="P268" s="155"/>
      <c r="Q268" s="155"/>
      <c r="R268" s="155"/>
      <c r="S268" s="155"/>
      <c r="T268" s="155"/>
      <c r="U268" s="91" t="s">
        <v>111</v>
      </c>
      <c r="V268" s="155"/>
      <c r="W268" s="155"/>
      <c r="X268" s="155"/>
      <c r="Y268" s="155"/>
      <c r="Z268" s="155"/>
      <c r="AA268" s="155"/>
      <c r="AB268" s="91" t="s">
        <v>110</v>
      </c>
      <c r="AC268" s="155"/>
      <c r="AD268" s="155"/>
      <c r="AE268" s="155"/>
    </row>
    <row r="269" spans="1:31" ht="47.25" thickBot="1">
      <c r="A269" s="95">
        <v>1</v>
      </c>
      <c r="B269" s="68">
        <v>2</v>
      </c>
      <c r="C269" s="69" t="s">
        <v>112</v>
      </c>
      <c r="D269" s="70">
        <v>4</v>
      </c>
      <c r="E269" s="69">
        <v>5</v>
      </c>
      <c r="F269" s="69">
        <v>6</v>
      </c>
      <c r="G269" s="69">
        <v>7</v>
      </c>
      <c r="H269" s="69">
        <v>8</v>
      </c>
      <c r="I269" s="69" t="s">
        <v>113</v>
      </c>
      <c r="J269" s="70">
        <v>10</v>
      </c>
      <c r="K269" s="69">
        <v>11</v>
      </c>
      <c r="L269" s="69">
        <v>13</v>
      </c>
      <c r="M269" s="69">
        <v>14</v>
      </c>
      <c r="N269" s="69">
        <v>15</v>
      </c>
      <c r="O269" s="69">
        <v>16</v>
      </c>
      <c r="P269" s="94">
        <v>17</v>
      </c>
      <c r="Q269" s="69">
        <v>18</v>
      </c>
      <c r="R269" s="94">
        <v>19</v>
      </c>
      <c r="S269" s="69">
        <v>20</v>
      </c>
      <c r="T269" s="94">
        <v>21</v>
      </c>
      <c r="U269" s="94">
        <v>22</v>
      </c>
      <c r="V269" s="69">
        <v>23</v>
      </c>
      <c r="W269" s="69">
        <v>24</v>
      </c>
      <c r="X269" s="94">
        <v>25</v>
      </c>
      <c r="Y269" s="69">
        <v>26</v>
      </c>
      <c r="Z269" s="69">
        <v>27</v>
      </c>
      <c r="AA269" s="69">
        <v>28</v>
      </c>
      <c r="AB269" s="94">
        <v>29</v>
      </c>
      <c r="AC269" s="69">
        <v>30</v>
      </c>
      <c r="AD269" s="69">
        <v>31</v>
      </c>
      <c r="AE269" s="92">
        <v>32</v>
      </c>
    </row>
    <row r="270" spans="1:32" ht="47.25" thickBot="1">
      <c r="A270" s="165" t="s">
        <v>7</v>
      </c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7"/>
      <c r="AF270" s="96"/>
    </row>
    <row r="271" spans="1:31" s="96" customFormat="1" ht="47.25" thickBot="1">
      <c r="A271" s="46" t="s">
        <v>213</v>
      </c>
      <c r="B271" s="48" t="s">
        <v>222</v>
      </c>
      <c r="C271" s="46"/>
      <c r="D271" s="57"/>
      <c r="E271" s="57"/>
      <c r="F271" s="57"/>
      <c r="G271" s="57">
        <v>19</v>
      </c>
      <c r="H271" s="51"/>
      <c r="I271" s="51"/>
      <c r="J271" s="51"/>
      <c r="K271" s="51"/>
      <c r="L271" s="51"/>
      <c r="M271" s="51"/>
      <c r="N271" s="52"/>
      <c r="O271" s="46">
        <v>4</v>
      </c>
      <c r="P271" s="52">
        <v>2</v>
      </c>
      <c r="Q271" s="46"/>
      <c r="R271" s="52"/>
      <c r="S271" s="46">
        <v>113</v>
      </c>
      <c r="T271" s="52"/>
      <c r="U271" s="46"/>
      <c r="V271" s="46"/>
      <c r="W271" s="46"/>
      <c r="X271" s="52"/>
      <c r="Y271" s="46"/>
      <c r="Z271" s="46"/>
      <c r="AA271" s="46"/>
      <c r="AB271" s="52"/>
      <c r="AC271" s="46"/>
      <c r="AD271" s="52"/>
      <c r="AE271" s="46"/>
    </row>
    <row r="272" spans="1:32" s="96" customFormat="1" ht="47.25" thickBot="1">
      <c r="A272" s="44">
        <v>2</v>
      </c>
      <c r="B272" s="45" t="s">
        <v>36</v>
      </c>
      <c r="C272" s="46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44"/>
      <c r="O272" s="46">
        <v>9</v>
      </c>
      <c r="P272" s="44"/>
      <c r="Q272" s="52"/>
      <c r="R272" s="44"/>
      <c r="S272" s="52">
        <v>70</v>
      </c>
      <c r="T272" s="44"/>
      <c r="U272" s="52"/>
      <c r="V272" s="44"/>
      <c r="W272" s="52"/>
      <c r="X272" s="44"/>
      <c r="Y272" s="52"/>
      <c r="Z272" s="44"/>
      <c r="AA272" s="52"/>
      <c r="AB272" s="44">
        <v>2</v>
      </c>
      <c r="AC272" s="44"/>
      <c r="AD272" s="44"/>
      <c r="AE272" s="46"/>
      <c r="AF272" s="81"/>
    </row>
    <row r="273" spans="1:31" ht="47.25" thickBot="1">
      <c r="A273" s="44">
        <v>3</v>
      </c>
      <c r="B273" s="45" t="s">
        <v>58</v>
      </c>
      <c r="C273" s="51">
        <v>20</v>
      </c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44"/>
      <c r="O273" s="52"/>
      <c r="P273" s="46">
        <v>4</v>
      </c>
      <c r="Q273" s="52"/>
      <c r="R273" s="44"/>
      <c r="S273" s="52"/>
      <c r="T273" s="66"/>
      <c r="U273" s="44"/>
      <c r="V273" s="46"/>
      <c r="W273" s="52"/>
      <c r="X273" s="44"/>
      <c r="Y273" s="52"/>
      <c r="Z273" s="44">
        <v>9.6</v>
      </c>
      <c r="AA273" s="52"/>
      <c r="AB273" s="44"/>
      <c r="AC273" s="51"/>
      <c r="AD273" s="66"/>
      <c r="AE273" s="44"/>
    </row>
    <row r="274" spans="1:31" ht="47.25" thickBot="1">
      <c r="A274" s="44"/>
      <c r="B274" s="45" t="s">
        <v>8</v>
      </c>
      <c r="C274" s="46">
        <f>SUM(C271+C272+C273)</f>
        <v>20</v>
      </c>
      <c r="D274" s="46">
        <f aca="true" t="shared" si="51" ref="D274:AE274">SUM(D271+D272+D273)</f>
        <v>0</v>
      </c>
      <c r="E274" s="46">
        <f t="shared" si="51"/>
        <v>0</v>
      </c>
      <c r="F274" s="46">
        <f t="shared" si="51"/>
        <v>0</v>
      </c>
      <c r="G274" s="46">
        <f t="shared" si="51"/>
        <v>19</v>
      </c>
      <c r="H274" s="46">
        <f t="shared" si="51"/>
        <v>0</v>
      </c>
      <c r="I274" s="46">
        <f t="shared" si="51"/>
        <v>0</v>
      </c>
      <c r="J274" s="46">
        <f t="shared" si="51"/>
        <v>0</v>
      </c>
      <c r="K274" s="46">
        <f t="shared" si="51"/>
        <v>0</v>
      </c>
      <c r="L274" s="46">
        <f t="shared" si="51"/>
        <v>0</v>
      </c>
      <c r="M274" s="46">
        <f t="shared" si="51"/>
        <v>0</v>
      </c>
      <c r="N274" s="46">
        <f t="shared" si="51"/>
        <v>0</v>
      </c>
      <c r="O274" s="46">
        <f t="shared" si="51"/>
        <v>13</v>
      </c>
      <c r="P274" s="46">
        <f t="shared" si="51"/>
        <v>6</v>
      </c>
      <c r="Q274" s="46">
        <f t="shared" si="51"/>
        <v>0</v>
      </c>
      <c r="R274" s="46">
        <f t="shared" si="51"/>
        <v>0</v>
      </c>
      <c r="S274" s="46">
        <f t="shared" si="51"/>
        <v>183</v>
      </c>
      <c r="T274" s="46">
        <f t="shared" si="51"/>
        <v>0</v>
      </c>
      <c r="U274" s="46">
        <f t="shared" si="51"/>
        <v>0</v>
      </c>
      <c r="V274" s="46">
        <f t="shared" si="51"/>
        <v>0</v>
      </c>
      <c r="W274" s="46">
        <f t="shared" si="51"/>
        <v>0</v>
      </c>
      <c r="X274" s="46">
        <f t="shared" si="51"/>
        <v>0</v>
      </c>
      <c r="Y274" s="46">
        <f t="shared" si="51"/>
        <v>0</v>
      </c>
      <c r="Z274" s="46">
        <f t="shared" si="51"/>
        <v>9.6</v>
      </c>
      <c r="AA274" s="46">
        <f t="shared" si="51"/>
        <v>0</v>
      </c>
      <c r="AB274" s="46">
        <f t="shared" si="51"/>
        <v>2</v>
      </c>
      <c r="AC274" s="46">
        <f t="shared" si="51"/>
        <v>0</v>
      </c>
      <c r="AD274" s="46">
        <f t="shared" si="51"/>
        <v>0</v>
      </c>
      <c r="AE274" s="46">
        <f t="shared" si="51"/>
        <v>0</v>
      </c>
    </row>
    <row r="275" spans="1:31" ht="47.25" thickBot="1">
      <c r="A275" s="156" t="s">
        <v>107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57"/>
    </row>
    <row r="276" spans="1:31" ht="47.25" thickBot="1">
      <c r="A276" s="44" t="s">
        <v>45</v>
      </c>
      <c r="B276" s="48" t="s">
        <v>108</v>
      </c>
      <c r="C276" s="46"/>
      <c r="D276" s="51"/>
      <c r="E276" s="51"/>
      <c r="F276" s="51"/>
      <c r="G276" s="51"/>
      <c r="H276" s="51"/>
      <c r="I276" s="51"/>
      <c r="J276" s="51"/>
      <c r="K276" s="51">
        <v>90</v>
      </c>
      <c r="L276" s="51"/>
      <c r="M276" s="51"/>
      <c r="N276" s="52"/>
      <c r="O276" s="46"/>
      <c r="P276" s="52"/>
      <c r="Q276" s="46"/>
      <c r="R276" s="52"/>
      <c r="S276" s="46"/>
      <c r="T276" s="52"/>
      <c r="U276" s="46"/>
      <c r="V276" s="46"/>
      <c r="W276" s="52"/>
      <c r="X276" s="46"/>
      <c r="Y276" s="46"/>
      <c r="Z276" s="52"/>
      <c r="AA276" s="46"/>
      <c r="AB276" s="52"/>
      <c r="AC276" s="46"/>
      <c r="AD276" s="46"/>
      <c r="AE276" s="51"/>
    </row>
    <row r="277" spans="1:31" ht="47.25" thickBot="1">
      <c r="A277" s="44" t="s">
        <v>45</v>
      </c>
      <c r="B277" s="45" t="s">
        <v>41</v>
      </c>
      <c r="C277" s="46"/>
      <c r="D277" s="51"/>
      <c r="E277" s="51"/>
      <c r="F277" s="51"/>
      <c r="G277" s="51"/>
      <c r="H277" s="51"/>
      <c r="I277" s="51"/>
      <c r="J277" s="51"/>
      <c r="K277" s="51"/>
      <c r="L277" s="51">
        <v>100</v>
      </c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7"/>
    </row>
    <row r="278" spans="1:31" ht="47.25" thickBot="1">
      <c r="A278" s="44"/>
      <c r="B278" s="45" t="s">
        <v>37</v>
      </c>
      <c r="C278" s="46">
        <f>SUM(C276:C277)</f>
        <v>0</v>
      </c>
      <c r="D278" s="46">
        <f aca="true" t="shared" si="52" ref="D278:N278">SUM(D276:D277)</f>
        <v>0</v>
      </c>
      <c r="E278" s="46">
        <f t="shared" si="52"/>
        <v>0</v>
      </c>
      <c r="F278" s="46">
        <f t="shared" si="52"/>
        <v>0</v>
      </c>
      <c r="G278" s="46">
        <f t="shared" si="52"/>
        <v>0</v>
      </c>
      <c r="H278" s="46">
        <f t="shared" si="52"/>
        <v>0</v>
      </c>
      <c r="I278" s="46">
        <f t="shared" si="52"/>
        <v>0</v>
      </c>
      <c r="J278" s="46">
        <f t="shared" si="52"/>
        <v>0</v>
      </c>
      <c r="K278" s="46">
        <f t="shared" si="52"/>
        <v>90</v>
      </c>
      <c r="L278" s="46">
        <f t="shared" si="52"/>
        <v>100</v>
      </c>
      <c r="M278" s="46">
        <f t="shared" si="52"/>
        <v>0</v>
      </c>
      <c r="N278" s="46">
        <f t="shared" si="52"/>
        <v>0</v>
      </c>
      <c r="O278" s="51">
        <f aca="true" t="shared" si="53" ref="O278:AE278">SUM(O276)</f>
        <v>0</v>
      </c>
      <c r="P278" s="51">
        <f t="shared" si="53"/>
        <v>0</v>
      </c>
      <c r="Q278" s="51">
        <f t="shared" si="53"/>
        <v>0</v>
      </c>
      <c r="R278" s="51">
        <f t="shared" si="53"/>
        <v>0</v>
      </c>
      <c r="S278" s="51">
        <f t="shared" si="53"/>
        <v>0</v>
      </c>
      <c r="T278" s="51">
        <f t="shared" si="53"/>
        <v>0</v>
      </c>
      <c r="U278" s="51">
        <f t="shared" si="53"/>
        <v>0</v>
      </c>
      <c r="V278" s="51">
        <f t="shared" si="53"/>
        <v>0</v>
      </c>
      <c r="W278" s="51">
        <f t="shared" si="53"/>
        <v>0</v>
      </c>
      <c r="X278" s="51">
        <f t="shared" si="53"/>
        <v>0</v>
      </c>
      <c r="Y278" s="51">
        <f t="shared" si="53"/>
        <v>0</v>
      </c>
      <c r="Z278" s="51">
        <f t="shared" si="53"/>
        <v>0</v>
      </c>
      <c r="AA278" s="51">
        <f t="shared" si="53"/>
        <v>0</v>
      </c>
      <c r="AB278" s="51">
        <f t="shared" si="53"/>
        <v>0</v>
      </c>
      <c r="AC278" s="51">
        <f t="shared" si="53"/>
        <v>0</v>
      </c>
      <c r="AD278" s="51">
        <f t="shared" si="53"/>
        <v>0</v>
      </c>
      <c r="AE278" s="51">
        <f t="shared" si="53"/>
        <v>0</v>
      </c>
    </row>
    <row r="279" spans="1:31" ht="47.25" thickBot="1">
      <c r="A279" s="165" t="s">
        <v>10</v>
      </c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7"/>
    </row>
    <row r="280" spans="1:31" ht="93.75" thickBot="1">
      <c r="A280" s="46">
        <v>94</v>
      </c>
      <c r="B280" s="48" t="s">
        <v>211</v>
      </c>
      <c r="C280" s="46"/>
      <c r="D280" s="51"/>
      <c r="E280" s="51"/>
      <c r="F280" s="51"/>
      <c r="G280" s="51"/>
      <c r="H280" s="51"/>
      <c r="I280" s="51">
        <v>20</v>
      </c>
      <c r="J280" s="51">
        <v>22</v>
      </c>
      <c r="K280" s="51"/>
      <c r="L280" s="51"/>
      <c r="M280" s="51"/>
      <c r="N280" s="52"/>
      <c r="O280" s="46"/>
      <c r="P280" s="52"/>
      <c r="Q280" s="46">
        <v>4</v>
      </c>
      <c r="R280" s="52"/>
      <c r="S280" s="46"/>
      <c r="T280" s="46"/>
      <c r="U280" s="52"/>
      <c r="V280" s="46"/>
      <c r="W280" s="52"/>
      <c r="X280" s="46"/>
      <c r="Y280" s="46"/>
      <c r="Z280" s="52"/>
      <c r="AA280" s="46"/>
      <c r="AB280" s="52"/>
      <c r="AC280" s="46"/>
      <c r="AD280" s="46"/>
      <c r="AE280" s="51"/>
    </row>
    <row r="281" spans="1:31" ht="140.25" thickBot="1">
      <c r="A281" s="44">
        <v>52</v>
      </c>
      <c r="B281" s="45" t="s">
        <v>155</v>
      </c>
      <c r="C281" s="46"/>
      <c r="D281" s="51"/>
      <c r="E281" s="51"/>
      <c r="F281" s="51"/>
      <c r="G281" s="51"/>
      <c r="H281" s="51">
        <v>8</v>
      </c>
      <c r="I281" s="51">
        <v>60</v>
      </c>
      <c r="J281" s="51">
        <v>22</v>
      </c>
      <c r="K281" s="51"/>
      <c r="L281" s="51"/>
      <c r="M281" s="51"/>
      <c r="N281" s="52"/>
      <c r="O281" s="46"/>
      <c r="P281" s="52">
        <v>3</v>
      </c>
      <c r="Q281" s="46"/>
      <c r="R281" s="52"/>
      <c r="S281" s="46"/>
      <c r="T281" s="44"/>
      <c r="U281" s="52"/>
      <c r="V281" s="44"/>
      <c r="W281" s="52">
        <v>25</v>
      </c>
      <c r="X281" s="44"/>
      <c r="Y281" s="46"/>
      <c r="Z281" s="52"/>
      <c r="AA281" s="46"/>
      <c r="AB281" s="52"/>
      <c r="AC281" s="44"/>
      <c r="AD281" s="46"/>
      <c r="AE281" s="51"/>
    </row>
    <row r="282" spans="1:31" ht="47.25" thickBot="1">
      <c r="A282" s="44">
        <v>53</v>
      </c>
      <c r="B282" s="45" t="s">
        <v>140</v>
      </c>
      <c r="C282" s="46"/>
      <c r="D282" s="51"/>
      <c r="E282" s="51">
        <v>1.6</v>
      </c>
      <c r="F282" s="51"/>
      <c r="G282" s="51"/>
      <c r="H282" s="51"/>
      <c r="I282" s="51"/>
      <c r="J282" s="51">
        <v>177</v>
      </c>
      <c r="K282" s="51"/>
      <c r="L282" s="51"/>
      <c r="M282" s="51"/>
      <c r="N282" s="44"/>
      <c r="O282" s="52">
        <v>1.8</v>
      </c>
      <c r="P282" s="44"/>
      <c r="Q282" s="52">
        <v>6</v>
      </c>
      <c r="R282" s="44"/>
      <c r="S282" s="52"/>
      <c r="T282" s="66"/>
      <c r="U282" s="44"/>
      <c r="V282" s="44">
        <v>89</v>
      </c>
      <c r="W282" s="52"/>
      <c r="X282" s="44"/>
      <c r="Y282" s="52"/>
      <c r="Z282" s="44"/>
      <c r="AA282" s="44"/>
      <c r="AB282" s="52"/>
      <c r="AC282" s="44"/>
      <c r="AD282" s="66"/>
      <c r="AE282" s="44"/>
    </row>
    <row r="283" spans="1:31" ht="93.75" thickBot="1">
      <c r="A283" s="44" t="s">
        <v>243</v>
      </c>
      <c r="B283" s="45" t="s">
        <v>244</v>
      </c>
      <c r="C283" s="46"/>
      <c r="D283" s="51"/>
      <c r="E283" s="51"/>
      <c r="F283" s="51"/>
      <c r="G283" s="51"/>
      <c r="H283" s="51"/>
      <c r="I283" s="51"/>
      <c r="J283" s="51"/>
      <c r="K283" s="51"/>
      <c r="L283" s="51">
        <v>34</v>
      </c>
      <c r="M283" s="51"/>
      <c r="N283" s="52"/>
      <c r="O283" s="44">
        <v>9</v>
      </c>
      <c r="P283" s="52"/>
      <c r="Q283" s="44"/>
      <c r="R283" s="52"/>
      <c r="S283" s="44"/>
      <c r="T283" s="44"/>
      <c r="U283" s="52"/>
      <c r="V283" s="44"/>
      <c r="W283" s="52"/>
      <c r="X283" s="44"/>
      <c r="Y283" s="44"/>
      <c r="Z283" s="52"/>
      <c r="AA283" s="44"/>
      <c r="AB283" s="52"/>
      <c r="AC283" s="44"/>
      <c r="AD283" s="44"/>
      <c r="AE283" s="51"/>
    </row>
    <row r="284" spans="1:31" ht="47.25" thickBot="1">
      <c r="A284" s="44" t="s">
        <v>45</v>
      </c>
      <c r="B284" s="45" t="s">
        <v>114</v>
      </c>
      <c r="C284" s="51">
        <v>25</v>
      </c>
      <c r="D284" s="51"/>
      <c r="E284" s="51"/>
      <c r="F284" s="51"/>
      <c r="G284" s="51"/>
      <c r="H284" s="51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65"/>
      <c r="X284" s="46"/>
      <c r="Y284" s="57"/>
      <c r="Z284" s="57"/>
      <c r="AA284" s="57"/>
      <c r="AB284" s="46"/>
      <c r="AC284" s="57"/>
      <c r="AD284" s="57"/>
      <c r="AE284" s="51"/>
    </row>
    <row r="285" spans="1:31" ht="47.25" thickBot="1">
      <c r="A285" s="44" t="s">
        <v>45</v>
      </c>
      <c r="B285" s="45" t="s">
        <v>144</v>
      </c>
      <c r="C285" s="46"/>
      <c r="D285" s="51">
        <v>40</v>
      </c>
      <c r="E285" s="51"/>
      <c r="F285" s="51"/>
      <c r="G285" s="51"/>
      <c r="H285" s="51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1"/>
    </row>
    <row r="286" spans="1:31" ht="47.25" thickBot="1">
      <c r="A286" s="46"/>
      <c r="B286" s="48" t="s">
        <v>37</v>
      </c>
      <c r="C286" s="46">
        <f>SUM(C280:C285)</f>
        <v>25</v>
      </c>
      <c r="D286" s="46">
        <f aca="true" t="shared" si="54" ref="D286:AE286">SUM(D280:D285)</f>
        <v>40</v>
      </c>
      <c r="E286" s="46">
        <f t="shared" si="54"/>
        <v>1.6</v>
      </c>
      <c r="F286" s="46">
        <f t="shared" si="54"/>
        <v>0</v>
      </c>
      <c r="G286" s="46">
        <f t="shared" si="54"/>
        <v>0</v>
      </c>
      <c r="H286" s="46">
        <f t="shared" si="54"/>
        <v>8</v>
      </c>
      <c r="I286" s="46">
        <f t="shared" si="54"/>
        <v>80</v>
      </c>
      <c r="J286" s="46">
        <f t="shared" si="54"/>
        <v>221</v>
      </c>
      <c r="K286" s="46">
        <f t="shared" si="54"/>
        <v>0</v>
      </c>
      <c r="L286" s="46">
        <f t="shared" si="54"/>
        <v>34</v>
      </c>
      <c r="M286" s="46">
        <f t="shared" si="54"/>
        <v>0</v>
      </c>
      <c r="N286" s="46">
        <f t="shared" si="54"/>
        <v>0</v>
      </c>
      <c r="O286" s="46">
        <f t="shared" si="54"/>
        <v>10.8</v>
      </c>
      <c r="P286" s="46">
        <f t="shared" si="54"/>
        <v>3</v>
      </c>
      <c r="Q286" s="46">
        <f t="shared" si="54"/>
        <v>10</v>
      </c>
      <c r="R286" s="46">
        <f t="shared" si="54"/>
        <v>0</v>
      </c>
      <c r="S286" s="46">
        <f t="shared" si="54"/>
        <v>0</v>
      </c>
      <c r="T286" s="46">
        <f t="shared" si="54"/>
        <v>0</v>
      </c>
      <c r="U286" s="46">
        <f t="shared" si="54"/>
        <v>0</v>
      </c>
      <c r="V286" s="46">
        <f t="shared" si="54"/>
        <v>89</v>
      </c>
      <c r="W286" s="46">
        <f t="shared" si="54"/>
        <v>25</v>
      </c>
      <c r="X286" s="46">
        <f t="shared" si="54"/>
        <v>0</v>
      </c>
      <c r="Y286" s="46">
        <f t="shared" si="54"/>
        <v>0</v>
      </c>
      <c r="Z286" s="46">
        <f t="shared" si="54"/>
        <v>0</v>
      </c>
      <c r="AA286" s="46">
        <f t="shared" si="54"/>
        <v>0</v>
      </c>
      <c r="AB286" s="46">
        <f t="shared" si="54"/>
        <v>0</v>
      </c>
      <c r="AC286" s="46">
        <f t="shared" si="54"/>
        <v>0</v>
      </c>
      <c r="AD286" s="46">
        <f t="shared" si="54"/>
        <v>0</v>
      </c>
      <c r="AE286" s="46">
        <f t="shared" si="54"/>
        <v>0</v>
      </c>
    </row>
    <row r="287" spans="1:31" ht="46.5" customHeight="1" thickBot="1">
      <c r="A287" s="156" t="s">
        <v>207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57"/>
    </row>
    <row r="288" spans="1:31" ht="93.75" thickBot="1">
      <c r="A288" s="46">
        <v>22</v>
      </c>
      <c r="B288" s="45" t="s">
        <v>47</v>
      </c>
      <c r="C288" s="46" t="s">
        <v>161</v>
      </c>
      <c r="D288" s="51"/>
      <c r="E288" s="51">
        <v>8</v>
      </c>
      <c r="F288" s="51"/>
      <c r="G288" s="51"/>
      <c r="H288" s="51"/>
      <c r="I288" s="57"/>
      <c r="J288" s="57"/>
      <c r="K288" s="57"/>
      <c r="L288" s="57"/>
      <c r="M288" s="57"/>
      <c r="N288" s="57"/>
      <c r="O288" s="57">
        <v>6</v>
      </c>
      <c r="P288" s="57">
        <v>4</v>
      </c>
      <c r="Q288" s="57"/>
      <c r="R288" s="57">
        <v>3</v>
      </c>
      <c r="S288" s="57">
        <v>30</v>
      </c>
      <c r="T288" s="57">
        <v>95</v>
      </c>
      <c r="U288" s="57"/>
      <c r="V288" s="57"/>
      <c r="W288" s="57"/>
      <c r="X288" s="57"/>
      <c r="Y288" s="57">
        <v>4</v>
      </c>
      <c r="Z288" s="57"/>
      <c r="AA288" s="57"/>
      <c r="AB288" s="57"/>
      <c r="AC288" s="57"/>
      <c r="AD288" s="57"/>
      <c r="AE288" s="57"/>
    </row>
    <row r="289" spans="1:31" ht="47.25" thickBot="1">
      <c r="A289" s="46">
        <v>13</v>
      </c>
      <c r="B289" s="50" t="s">
        <v>9</v>
      </c>
      <c r="C289" s="46"/>
      <c r="D289" s="57"/>
      <c r="E289" s="57"/>
      <c r="F289" s="57"/>
      <c r="G289" s="57"/>
      <c r="H289" s="51"/>
      <c r="I289" s="51"/>
      <c r="J289" s="51"/>
      <c r="K289" s="51"/>
      <c r="L289" s="51"/>
      <c r="M289" s="51"/>
      <c r="N289" s="52"/>
      <c r="O289" s="46">
        <v>9</v>
      </c>
      <c r="P289" s="52"/>
      <c r="Q289" s="46"/>
      <c r="R289" s="52"/>
      <c r="S289" s="46"/>
      <c r="T289" s="46"/>
      <c r="U289" s="52"/>
      <c r="V289" s="46"/>
      <c r="W289" s="52"/>
      <c r="X289" s="46"/>
      <c r="Y289" s="46"/>
      <c r="Z289" s="52"/>
      <c r="AA289" s="46">
        <v>0.5</v>
      </c>
      <c r="AB289" s="46"/>
      <c r="AC289" s="52"/>
      <c r="AD289" s="46"/>
      <c r="AE289" s="51"/>
    </row>
    <row r="290" spans="1:31" ht="47.25" thickBot="1">
      <c r="A290" s="44">
        <v>21</v>
      </c>
      <c r="B290" s="73" t="s">
        <v>38</v>
      </c>
      <c r="C290" s="44"/>
      <c r="D290" s="51"/>
      <c r="E290" s="44"/>
      <c r="F290" s="44"/>
      <c r="G290" s="44"/>
      <c r="H290" s="51"/>
      <c r="I290" s="51"/>
      <c r="J290" s="51"/>
      <c r="K290" s="51"/>
      <c r="L290" s="51"/>
      <c r="M290" s="51"/>
      <c r="N290" s="52"/>
      <c r="O290" s="46"/>
      <c r="P290" s="52"/>
      <c r="Q290" s="46"/>
      <c r="R290" s="52"/>
      <c r="S290" s="46">
        <v>145</v>
      </c>
      <c r="T290" s="52"/>
      <c r="U290" s="46"/>
      <c r="V290" s="46"/>
      <c r="W290" s="52"/>
      <c r="X290" s="46"/>
      <c r="Y290" s="46"/>
      <c r="Z290" s="52"/>
      <c r="AA290" s="46"/>
      <c r="AB290" s="46"/>
      <c r="AC290" s="52"/>
      <c r="AD290" s="46"/>
      <c r="AE290" s="51"/>
    </row>
    <row r="291" spans="1:31" ht="233.25" thickBot="1">
      <c r="A291" s="44" t="s">
        <v>45</v>
      </c>
      <c r="B291" s="45" t="s">
        <v>134</v>
      </c>
      <c r="C291" s="46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>
        <v>12</v>
      </c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</row>
    <row r="292" spans="1:31" ht="47.25" thickBot="1">
      <c r="A292" s="69"/>
      <c r="B292" s="45" t="s">
        <v>8</v>
      </c>
      <c r="C292" s="46">
        <f>C288+C289+C290+C291</f>
        <v>4</v>
      </c>
      <c r="D292" s="46">
        <f aca="true" t="shared" si="55" ref="D292:AE292">D288+D289+D290+D291</f>
        <v>0</v>
      </c>
      <c r="E292" s="46">
        <f t="shared" si="55"/>
        <v>8</v>
      </c>
      <c r="F292" s="46">
        <f t="shared" si="55"/>
        <v>0</v>
      </c>
      <c r="G292" s="46">
        <f t="shared" si="55"/>
        <v>0</v>
      </c>
      <c r="H292" s="46">
        <f t="shared" si="55"/>
        <v>0</v>
      </c>
      <c r="I292" s="46">
        <f t="shared" si="55"/>
        <v>0</v>
      </c>
      <c r="J292" s="46">
        <f t="shared" si="55"/>
        <v>0</v>
      </c>
      <c r="K292" s="46">
        <f t="shared" si="55"/>
        <v>0</v>
      </c>
      <c r="L292" s="46">
        <f t="shared" si="55"/>
        <v>0</v>
      </c>
      <c r="M292" s="46">
        <f t="shared" si="55"/>
        <v>0</v>
      </c>
      <c r="N292" s="46">
        <f t="shared" si="55"/>
        <v>12</v>
      </c>
      <c r="O292" s="46">
        <f t="shared" si="55"/>
        <v>15</v>
      </c>
      <c r="P292" s="46">
        <f t="shared" si="55"/>
        <v>4</v>
      </c>
      <c r="Q292" s="46">
        <f t="shared" si="55"/>
        <v>0</v>
      </c>
      <c r="R292" s="46">
        <f t="shared" si="55"/>
        <v>3</v>
      </c>
      <c r="S292" s="46">
        <f t="shared" si="55"/>
        <v>175</v>
      </c>
      <c r="T292" s="46">
        <f t="shared" si="55"/>
        <v>95</v>
      </c>
      <c r="U292" s="46">
        <f t="shared" si="55"/>
        <v>0</v>
      </c>
      <c r="V292" s="46">
        <f t="shared" si="55"/>
        <v>0</v>
      </c>
      <c r="W292" s="46">
        <f t="shared" si="55"/>
        <v>0</v>
      </c>
      <c r="X292" s="46">
        <f t="shared" si="55"/>
        <v>0</v>
      </c>
      <c r="Y292" s="46">
        <f t="shared" si="55"/>
        <v>4</v>
      </c>
      <c r="Z292" s="46">
        <f t="shared" si="55"/>
        <v>0</v>
      </c>
      <c r="AA292" s="46">
        <f t="shared" si="55"/>
        <v>0.5</v>
      </c>
      <c r="AB292" s="46">
        <f t="shared" si="55"/>
        <v>0</v>
      </c>
      <c r="AC292" s="46">
        <f t="shared" si="55"/>
        <v>0</v>
      </c>
      <c r="AD292" s="46">
        <f t="shared" si="55"/>
        <v>0</v>
      </c>
      <c r="AE292" s="46">
        <f t="shared" si="55"/>
        <v>0</v>
      </c>
    </row>
    <row r="293" spans="1:31" ht="93.75" thickBot="1">
      <c r="A293" s="95"/>
      <c r="B293" s="45" t="s">
        <v>145</v>
      </c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>
        <v>4</v>
      </c>
      <c r="AE293" s="46"/>
    </row>
    <row r="294" spans="1:31" ht="47.25" thickBot="1">
      <c r="A294" s="44"/>
      <c r="B294" s="74" t="s">
        <v>12</v>
      </c>
      <c r="C294" s="46">
        <f>SUM(C274+C278+C286+C292)</f>
        <v>49</v>
      </c>
      <c r="D294" s="46">
        <f aca="true" t="shared" si="56" ref="D294:AE294">SUM(D274+D278+D286+D292)</f>
        <v>40</v>
      </c>
      <c r="E294" s="46">
        <f t="shared" si="56"/>
        <v>9.6</v>
      </c>
      <c r="F294" s="46">
        <f t="shared" si="56"/>
        <v>0</v>
      </c>
      <c r="G294" s="46">
        <f t="shared" si="56"/>
        <v>19</v>
      </c>
      <c r="H294" s="46">
        <f t="shared" si="56"/>
        <v>8</v>
      </c>
      <c r="I294" s="46">
        <f t="shared" si="56"/>
        <v>80</v>
      </c>
      <c r="J294" s="46">
        <f t="shared" si="56"/>
        <v>221</v>
      </c>
      <c r="K294" s="46">
        <f t="shared" si="56"/>
        <v>90</v>
      </c>
      <c r="L294" s="46">
        <f t="shared" si="56"/>
        <v>134</v>
      </c>
      <c r="M294" s="46">
        <f t="shared" si="56"/>
        <v>0</v>
      </c>
      <c r="N294" s="46">
        <f t="shared" si="56"/>
        <v>12</v>
      </c>
      <c r="O294" s="46">
        <f t="shared" si="56"/>
        <v>38.8</v>
      </c>
      <c r="P294" s="46">
        <f t="shared" si="56"/>
        <v>13</v>
      </c>
      <c r="Q294" s="46">
        <f t="shared" si="56"/>
        <v>10</v>
      </c>
      <c r="R294" s="46">
        <f t="shared" si="56"/>
        <v>3</v>
      </c>
      <c r="S294" s="46">
        <f t="shared" si="56"/>
        <v>358</v>
      </c>
      <c r="T294" s="46">
        <f t="shared" si="56"/>
        <v>95</v>
      </c>
      <c r="U294" s="46">
        <f t="shared" si="56"/>
        <v>0</v>
      </c>
      <c r="V294" s="46">
        <f t="shared" si="56"/>
        <v>89</v>
      </c>
      <c r="W294" s="46">
        <f t="shared" si="56"/>
        <v>25</v>
      </c>
      <c r="X294" s="46">
        <f t="shared" si="56"/>
        <v>0</v>
      </c>
      <c r="Y294" s="46">
        <f t="shared" si="56"/>
        <v>4</v>
      </c>
      <c r="Z294" s="46">
        <f t="shared" si="56"/>
        <v>9.6</v>
      </c>
      <c r="AA294" s="46">
        <f t="shared" si="56"/>
        <v>0.5</v>
      </c>
      <c r="AB294" s="46">
        <f t="shared" si="56"/>
        <v>2</v>
      </c>
      <c r="AC294" s="46">
        <f t="shared" si="56"/>
        <v>0</v>
      </c>
      <c r="AD294" s="46">
        <v>4</v>
      </c>
      <c r="AE294" s="46">
        <f t="shared" si="56"/>
        <v>0</v>
      </c>
    </row>
    <row r="295" spans="1:31" ht="46.5" customHeight="1" thickBot="1">
      <c r="A295" s="156" t="s">
        <v>259</v>
      </c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57"/>
    </row>
    <row r="296" spans="1:31" ht="47.25" thickBot="1">
      <c r="A296" s="165" t="s">
        <v>25</v>
      </c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7"/>
    </row>
    <row r="297" spans="1:31" ht="45.75" customHeight="1">
      <c r="A297" s="168" t="s">
        <v>39</v>
      </c>
      <c r="B297" s="170" t="s">
        <v>26</v>
      </c>
      <c r="C297" s="154" t="s">
        <v>114</v>
      </c>
      <c r="D297" s="154" t="s">
        <v>115</v>
      </c>
      <c r="E297" s="154" t="s">
        <v>116</v>
      </c>
      <c r="F297" s="154" t="s">
        <v>117</v>
      </c>
      <c r="G297" s="154" t="s">
        <v>109</v>
      </c>
      <c r="H297" s="154" t="s">
        <v>118</v>
      </c>
      <c r="I297" s="154" t="s">
        <v>246</v>
      </c>
      <c r="J297" s="154" t="s">
        <v>247</v>
      </c>
      <c r="K297" s="90"/>
      <c r="L297" s="154" t="s">
        <v>217</v>
      </c>
      <c r="M297" s="154" t="s">
        <v>121</v>
      </c>
      <c r="N297" s="154" t="s">
        <v>81</v>
      </c>
      <c r="O297" s="154" t="s">
        <v>82</v>
      </c>
      <c r="P297" s="154" t="s">
        <v>122</v>
      </c>
      <c r="Q297" s="154" t="s">
        <v>83</v>
      </c>
      <c r="R297" s="154" t="s">
        <v>123</v>
      </c>
      <c r="S297" s="154" t="s">
        <v>126</v>
      </c>
      <c r="T297" s="154" t="s">
        <v>143</v>
      </c>
      <c r="U297" s="90"/>
      <c r="V297" s="154" t="s">
        <v>248</v>
      </c>
      <c r="W297" s="154" t="s">
        <v>249</v>
      </c>
      <c r="X297" s="154" t="s">
        <v>250</v>
      </c>
      <c r="Y297" s="154" t="s">
        <v>84</v>
      </c>
      <c r="Z297" s="154" t="s">
        <v>85</v>
      </c>
      <c r="AA297" s="154" t="s">
        <v>89</v>
      </c>
      <c r="AB297" s="90"/>
      <c r="AC297" s="154" t="s">
        <v>124</v>
      </c>
      <c r="AD297" s="154" t="s">
        <v>86</v>
      </c>
      <c r="AE297" s="154" t="s">
        <v>125</v>
      </c>
    </row>
    <row r="298" spans="1:31" ht="344.25" thickBot="1">
      <c r="A298" s="169"/>
      <c r="B298" s="171"/>
      <c r="C298" s="155"/>
      <c r="D298" s="155"/>
      <c r="E298" s="155"/>
      <c r="F298" s="155"/>
      <c r="G298" s="155"/>
      <c r="H298" s="155"/>
      <c r="I298" s="155"/>
      <c r="J298" s="155"/>
      <c r="K298" s="91" t="s">
        <v>119</v>
      </c>
      <c r="L298" s="155"/>
      <c r="M298" s="155"/>
      <c r="N298" s="155"/>
      <c r="O298" s="155"/>
      <c r="P298" s="155"/>
      <c r="Q298" s="155"/>
      <c r="R298" s="155"/>
      <c r="S298" s="155"/>
      <c r="T298" s="155"/>
      <c r="U298" s="91" t="s">
        <v>111</v>
      </c>
      <c r="V298" s="155"/>
      <c r="W298" s="155"/>
      <c r="X298" s="155"/>
      <c r="Y298" s="155"/>
      <c r="Z298" s="155"/>
      <c r="AA298" s="155"/>
      <c r="AB298" s="91" t="s">
        <v>110</v>
      </c>
      <c r="AC298" s="155"/>
      <c r="AD298" s="155"/>
      <c r="AE298" s="155"/>
    </row>
    <row r="299" spans="1:31" ht="47.25" thickBot="1">
      <c r="A299" s="95">
        <v>1</v>
      </c>
      <c r="B299" s="68">
        <v>2</v>
      </c>
      <c r="C299" s="69" t="s">
        <v>112</v>
      </c>
      <c r="D299" s="70">
        <v>4</v>
      </c>
      <c r="E299" s="69">
        <v>5</v>
      </c>
      <c r="F299" s="69">
        <v>6</v>
      </c>
      <c r="G299" s="69">
        <v>7</v>
      </c>
      <c r="H299" s="69">
        <v>8</v>
      </c>
      <c r="I299" s="69" t="s">
        <v>113</v>
      </c>
      <c r="J299" s="70">
        <v>10</v>
      </c>
      <c r="K299" s="69">
        <v>11</v>
      </c>
      <c r="L299" s="69">
        <v>12</v>
      </c>
      <c r="M299" s="69">
        <v>13</v>
      </c>
      <c r="N299" s="69">
        <v>14</v>
      </c>
      <c r="O299" s="69">
        <v>15</v>
      </c>
      <c r="P299" s="94">
        <v>16</v>
      </c>
      <c r="Q299" s="69">
        <v>17</v>
      </c>
      <c r="R299" s="94">
        <v>18</v>
      </c>
      <c r="S299" s="69">
        <v>19</v>
      </c>
      <c r="T299" s="94">
        <v>20</v>
      </c>
      <c r="U299" s="94">
        <v>21</v>
      </c>
      <c r="V299" s="69">
        <v>22</v>
      </c>
      <c r="W299" s="69">
        <v>23</v>
      </c>
      <c r="X299" s="94">
        <v>24</v>
      </c>
      <c r="Y299" s="69">
        <v>25</v>
      </c>
      <c r="Z299" s="69">
        <v>26</v>
      </c>
      <c r="AA299" s="69">
        <v>27</v>
      </c>
      <c r="AB299" s="94">
        <v>28</v>
      </c>
      <c r="AC299" s="69">
        <v>29</v>
      </c>
      <c r="AD299" s="69">
        <v>30</v>
      </c>
      <c r="AE299" s="92">
        <v>31</v>
      </c>
    </row>
    <row r="300" spans="1:31" ht="47.25" thickBot="1">
      <c r="A300" s="165" t="s">
        <v>7</v>
      </c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7"/>
    </row>
    <row r="301" spans="1:31" ht="93.75" thickBot="1">
      <c r="A301" s="44">
        <v>39</v>
      </c>
      <c r="B301" s="45" t="s">
        <v>23</v>
      </c>
      <c r="C301" s="46"/>
      <c r="D301" s="51"/>
      <c r="E301" s="51"/>
      <c r="F301" s="51"/>
      <c r="G301" s="51"/>
      <c r="H301" s="51">
        <v>12</v>
      </c>
      <c r="I301" s="51"/>
      <c r="J301" s="51"/>
      <c r="K301" s="51"/>
      <c r="L301" s="51"/>
      <c r="M301" s="51"/>
      <c r="N301" s="44"/>
      <c r="O301" s="52">
        <v>1.5</v>
      </c>
      <c r="P301" s="44">
        <v>0.75</v>
      </c>
      <c r="Q301" s="52"/>
      <c r="R301" s="44"/>
      <c r="S301" s="52">
        <v>116</v>
      </c>
      <c r="T301" s="44"/>
      <c r="U301" s="52"/>
      <c r="V301" s="46"/>
      <c r="W301" s="52"/>
      <c r="X301" s="44"/>
      <c r="Y301" s="52"/>
      <c r="Z301" s="44"/>
      <c r="AA301" s="52"/>
      <c r="AB301" s="46"/>
      <c r="AC301" s="44"/>
      <c r="AD301" s="44"/>
      <c r="AE301" s="51"/>
    </row>
    <row r="302" spans="1:31" ht="47.25" thickBot="1">
      <c r="A302" s="44">
        <v>15</v>
      </c>
      <c r="B302" s="45" t="s">
        <v>18</v>
      </c>
      <c r="C302" s="46"/>
      <c r="D302" s="57"/>
      <c r="E302" s="57"/>
      <c r="F302" s="57"/>
      <c r="G302" s="57"/>
      <c r="H302" s="51"/>
      <c r="I302" s="51"/>
      <c r="J302" s="51"/>
      <c r="K302" s="51"/>
      <c r="L302" s="51"/>
      <c r="M302" s="51"/>
      <c r="N302" s="52"/>
      <c r="O302" s="46">
        <v>9</v>
      </c>
      <c r="P302" s="52"/>
      <c r="Q302" s="46"/>
      <c r="R302" s="52"/>
      <c r="S302" s="52">
        <v>70</v>
      </c>
      <c r="T302" s="52"/>
      <c r="U302" s="44"/>
      <c r="V302" s="46"/>
      <c r="W302" s="44"/>
      <c r="X302" s="52"/>
      <c r="Y302" s="46"/>
      <c r="Z302" s="46"/>
      <c r="AA302" s="52"/>
      <c r="AB302" s="44"/>
      <c r="AC302" s="46">
        <v>1</v>
      </c>
      <c r="AD302" s="52"/>
      <c r="AE302" s="46"/>
    </row>
    <row r="303" spans="1:31" ht="47.25" thickBot="1">
      <c r="A303" s="44">
        <v>101</v>
      </c>
      <c r="B303" s="45" t="s">
        <v>233</v>
      </c>
      <c r="C303" s="51">
        <v>20</v>
      </c>
      <c r="D303" s="57"/>
      <c r="E303" s="57"/>
      <c r="F303" s="57"/>
      <c r="G303" s="57"/>
      <c r="H303" s="51"/>
      <c r="I303" s="51"/>
      <c r="J303" s="51"/>
      <c r="K303" s="51"/>
      <c r="L303" s="51"/>
      <c r="M303" s="51"/>
      <c r="N303" s="52"/>
      <c r="O303" s="46"/>
      <c r="P303" s="46"/>
      <c r="Q303" s="46"/>
      <c r="R303" s="52"/>
      <c r="S303" s="46">
        <v>10</v>
      </c>
      <c r="T303" s="52"/>
      <c r="U303" s="44"/>
      <c r="V303" s="46"/>
      <c r="W303" s="44"/>
      <c r="X303" s="52"/>
      <c r="Y303" s="46"/>
      <c r="Z303" s="46"/>
      <c r="AA303" s="52"/>
      <c r="AB303" s="44"/>
      <c r="AC303" s="46"/>
      <c r="AD303" s="52"/>
      <c r="AE303" s="46"/>
    </row>
    <row r="304" spans="1:31" ht="47.25" thickBot="1">
      <c r="A304" s="44"/>
      <c r="B304" s="45" t="s">
        <v>8</v>
      </c>
      <c r="C304" s="46">
        <f>SUM(C301+C302+C303)</f>
        <v>20</v>
      </c>
      <c r="D304" s="46">
        <f aca="true" t="shared" si="57" ref="D304:AE304">SUM(D301+D302+D303)</f>
        <v>0</v>
      </c>
      <c r="E304" s="46">
        <f t="shared" si="57"/>
        <v>0</v>
      </c>
      <c r="F304" s="46">
        <f t="shared" si="57"/>
        <v>0</v>
      </c>
      <c r="G304" s="46">
        <f t="shared" si="57"/>
        <v>0</v>
      </c>
      <c r="H304" s="46">
        <f t="shared" si="57"/>
        <v>12</v>
      </c>
      <c r="I304" s="46">
        <f t="shared" si="57"/>
        <v>0</v>
      </c>
      <c r="J304" s="46">
        <f t="shared" si="57"/>
        <v>0</v>
      </c>
      <c r="K304" s="46">
        <f t="shared" si="57"/>
        <v>0</v>
      </c>
      <c r="L304" s="46">
        <f t="shared" si="57"/>
        <v>0</v>
      </c>
      <c r="M304" s="46">
        <f t="shared" si="57"/>
        <v>0</v>
      </c>
      <c r="N304" s="46">
        <f t="shared" si="57"/>
        <v>0</v>
      </c>
      <c r="O304" s="46">
        <f t="shared" si="57"/>
        <v>10.5</v>
      </c>
      <c r="P304" s="46">
        <f t="shared" si="57"/>
        <v>0.75</v>
      </c>
      <c r="Q304" s="46">
        <f t="shared" si="57"/>
        <v>0</v>
      </c>
      <c r="R304" s="46">
        <f t="shared" si="57"/>
        <v>0</v>
      </c>
      <c r="S304" s="46">
        <f t="shared" si="57"/>
        <v>196</v>
      </c>
      <c r="T304" s="46">
        <f t="shared" si="57"/>
        <v>0</v>
      </c>
      <c r="U304" s="46">
        <f t="shared" si="57"/>
        <v>0</v>
      </c>
      <c r="V304" s="46">
        <f t="shared" si="57"/>
        <v>0</v>
      </c>
      <c r="W304" s="46">
        <f t="shared" si="57"/>
        <v>0</v>
      </c>
      <c r="X304" s="46">
        <f t="shared" si="57"/>
        <v>0</v>
      </c>
      <c r="Y304" s="46">
        <f t="shared" si="57"/>
        <v>0</v>
      </c>
      <c r="Z304" s="46">
        <f t="shared" si="57"/>
        <v>0</v>
      </c>
      <c r="AA304" s="46">
        <f t="shared" si="57"/>
        <v>0</v>
      </c>
      <c r="AB304" s="46">
        <f t="shared" si="57"/>
        <v>0</v>
      </c>
      <c r="AC304" s="46">
        <f t="shared" si="57"/>
        <v>1</v>
      </c>
      <c r="AD304" s="46">
        <f t="shared" si="57"/>
        <v>0</v>
      </c>
      <c r="AE304" s="46">
        <f t="shared" si="57"/>
        <v>0</v>
      </c>
    </row>
    <row r="305" spans="1:31" ht="47.25" thickBot="1">
      <c r="A305" s="156" t="s">
        <v>107</v>
      </c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57"/>
    </row>
    <row r="306" spans="1:31" ht="47.25" thickBot="1">
      <c r="A306" s="44" t="s">
        <v>45</v>
      </c>
      <c r="B306" s="48" t="s">
        <v>108</v>
      </c>
      <c r="C306" s="46"/>
      <c r="D306" s="51"/>
      <c r="E306" s="51"/>
      <c r="F306" s="51"/>
      <c r="G306" s="51"/>
      <c r="H306" s="51"/>
      <c r="I306" s="51"/>
      <c r="J306" s="51"/>
      <c r="K306" s="51">
        <v>90</v>
      </c>
      <c r="L306" s="51"/>
      <c r="M306" s="51"/>
      <c r="N306" s="52"/>
      <c r="O306" s="46"/>
      <c r="P306" s="52"/>
      <c r="Q306" s="46"/>
      <c r="R306" s="52"/>
      <c r="S306" s="46"/>
      <c r="T306" s="52"/>
      <c r="U306" s="46"/>
      <c r="V306" s="46"/>
      <c r="W306" s="52"/>
      <c r="X306" s="46"/>
      <c r="Y306" s="46"/>
      <c r="Z306" s="52"/>
      <c r="AA306" s="46"/>
      <c r="AB306" s="52"/>
      <c r="AC306" s="46"/>
      <c r="AD306" s="46"/>
      <c r="AE306" s="51"/>
    </row>
    <row r="307" spans="1:31" ht="47.25" thickBot="1">
      <c r="A307" s="44" t="s">
        <v>45</v>
      </c>
      <c r="B307" s="45" t="s">
        <v>78</v>
      </c>
      <c r="C307" s="46"/>
      <c r="D307" s="51"/>
      <c r="E307" s="51"/>
      <c r="F307" s="51"/>
      <c r="G307" s="51"/>
      <c r="H307" s="51"/>
      <c r="I307" s="51"/>
      <c r="J307" s="51"/>
      <c r="K307" s="51"/>
      <c r="L307" s="51">
        <v>100</v>
      </c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7"/>
    </row>
    <row r="308" spans="1:31" ht="47.25" thickBot="1">
      <c r="A308" s="44"/>
      <c r="B308" s="45" t="s">
        <v>37</v>
      </c>
      <c r="C308" s="46">
        <f>SUM(C306:C307)</f>
        <v>0</v>
      </c>
      <c r="D308" s="46">
        <f aca="true" t="shared" si="58" ref="D308:AE308">SUM(D306:D307)</f>
        <v>0</v>
      </c>
      <c r="E308" s="46">
        <f t="shared" si="58"/>
        <v>0</v>
      </c>
      <c r="F308" s="46">
        <f t="shared" si="58"/>
        <v>0</v>
      </c>
      <c r="G308" s="46">
        <f t="shared" si="58"/>
        <v>0</v>
      </c>
      <c r="H308" s="46">
        <f t="shared" si="58"/>
        <v>0</v>
      </c>
      <c r="I308" s="46">
        <f t="shared" si="58"/>
        <v>0</v>
      </c>
      <c r="J308" s="46">
        <f t="shared" si="58"/>
        <v>0</v>
      </c>
      <c r="K308" s="46">
        <f t="shared" si="58"/>
        <v>90</v>
      </c>
      <c r="L308" s="46">
        <f t="shared" si="58"/>
        <v>100</v>
      </c>
      <c r="M308" s="46">
        <f t="shared" si="58"/>
        <v>0</v>
      </c>
      <c r="N308" s="46">
        <f t="shared" si="58"/>
        <v>0</v>
      </c>
      <c r="O308" s="46">
        <f t="shared" si="58"/>
        <v>0</v>
      </c>
      <c r="P308" s="46">
        <f t="shared" si="58"/>
        <v>0</v>
      </c>
      <c r="Q308" s="46">
        <f t="shared" si="58"/>
        <v>0</v>
      </c>
      <c r="R308" s="46">
        <f t="shared" si="58"/>
        <v>0</v>
      </c>
      <c r="S308" s="46">
        <f t="shared" si="58"/>
        <v>0</v>
      </c>
      <c r="T308" s="46">
        <f t="shared" si="58"/>
        <v>0</v>
      </c>
      <c r="U308" s="46">
        <f t="shared" si="58"/>
        <v>0</v>
      </c>
      <c r="V308" s="46">
        <f t="shared" si="58"/>
        <v>0</v>
      </c>
      <c r="W308" s="46">
        <f t="shared" si="58"/>
        <v>0</v>
      </c>
      <c r="X308" s="46">
        <f t="shared" si="58"/>
        <v>0</v>
      </c>
      <c r="Y308" s="46">
        <f t="shared" si="58"/>
        <v>0</v>
      </c>
      <c r="Z308" s="46">
        <f t="shared" si="58"/>
        <v>0</v>
      </c>
      <c r="AA308" s="46">
        <f t="shared" si="58"/>
        <v>0</v>
      </c>
      <c r="AB308" s="46">
        <f t="shared" si="58"/>
        <v>0</v>
      </c>
      <c r="AC308" s="46">
        <f t="shared" si="58"/>
        <v>0</v>
      </c>
      <c r="AD308" s="46">
        <f t="shared" si="58"/>
        <v>0</v>
      </c>
      <c r="AE308" s="46">
        <f t="shared" si="58"/>
        <v>0</v>
      </c>
    </row>
    <row r="309" spans="1:31" ht="47.25" thickBot="1">
      <c r="A309" s="165" t="s">
        <v>10</v>
      </c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7"/>
    </row>
    <row r="310" spans="1:31" ht="47.25" thickBot="1">
      <c r="A310" s="46">
        <v>81</v>
      </c>
      <c r="B310" s="48" t="s">
        <v>94</v>
      </c>
      <c r="C310" s="46"/>
      <c r="D310" s="51"/>
      <c r="E310" s="51"/>
      <c r="F310" s="51"/>
      <c r="G310" s="51"/>
      <c r="H310" s="51"/>
      <c r="I310" s="51"/>
      <c r="J310" s="51">
        <v>42.2</v>
      </c>
      <c r="K310" s="51"/>
      <c r="L310" s="51"/>
      <c r="M310" s="51"/>
      <c r="N310" s="52"/>
      <c r="O310" s="46"/>
      <c r="P310" s="52"/>
      <c r="Q310" s="46">
        <v>4</v>
      </c>
      <c r="R310" s="52"/>
      <c r="S310" s="46"/>
      <c r="T310" s="46"/>
      <c r="U310" s="52"/>
      <c r="V310" s="46"/>
      <c r="W310" s="52"/>
      <c r="X310" s="46"/>
      <c r="Y310" s="46"/>
      <c r="Z310" s="52"/>
      <c r="AA310" s="46"/>
      <c r="AB310" s="52"/>
      <c r="AC310" s="46"/>
      <c r="AD310" s="46"/>
      <c r="AE310" s="51"/>
    </row>
    <row r="311" spans="1:31" ht="93.75" thickBot="1">
      <c r="A311" s="44">
        <v>25</v>
      </c>
      <c r="B311" s="45" t="s">
        <v>59</v>
      </c>
      <c r="C311" s="46"/>
      <c r="D311" s="51"/>
      <c r="E311" s="51"/>
      <c r="F311" s="51"/>
      <c r="G311" s="51">
        <v>4</v>
      </c>
      <c r="H311" s="51"/>
      <c r="I311" s="51">
        <v>60</v>
      </c>
      <c r="J311" s="51">
        <v>28</v>
      </c>
      <c r="K311" s="51"/>
      <c r="L311" s="51"/>
      <c r="M311" s="51"/>
      <c r="N311" s="44"/>
      <c r="O311" s="52"/>
      <c r="P311" s="44">
        <v>3</v>
      </c>
      <c r="Q311" s="52"/>
      <c r="R311" s="44"/>
      <c r="S311" s="52"/>
      <c r="T311" s="44"/>
      <c r="U311" s="52"/>
      <c r="V311" s="44">
        <v>13</v>
      </c>
      <c r="W311" s="52"/>
      <c r="X311" s="44"/>
      <c r="Y311" s="46">
        <v>6</v>
      </c>
      <c r="Z311" s="44"/>
      <c r="AA311" s="44"/>
      <c r="AB311" s="52"/>
      <c r="AC311" s="44"/>
      <c r="AD311" s="44"/>
      <c r="AE311" s="51"/>
    </row>
    <row r="312" spans="1:31" ht="47.25" thickBot="1">
      <c r="A312" s="46">
        <v>44</v>
      </c>
      <c r="B312" s="45" t="s">
        <v>204</v>
      </c>
      <c r="C312" s="51"/>
      <c r="D312" s="51"/>
      <c r="E312" s="51"/>
      <c r="F312" s="51"/>
      <c r="G312" s="51"/>
      <c r="H312" s="51"/>
      <c r="I312" s="51"/>
      <c r="J312" s="51">
        <v>14</v>
      </c>
      <c r="K312" s="51"/>
      <c r="L312" s="51"/>
      <c r="M312" s="51"/>
      <c r="N312" s="51"/>
      <c r="O312" s="51"/>
      <c r="P312" s="51"/>
      <c r="Q312" s="51">
        <v>5</v>
      </c>
      <c r="R312" s="51"/>
      <c r="S312" s="51">
        <v>18</v>
      </c>
      <c r="T312" s="51"/>
      <c r="U312" s="51"/>
      <c r="V312" s="51"/>
      <c r="W312" s="51"/>
      <c r="X312" s="51">
        <v>67</v>
      </c>
      <c r="Y312" s="51"/>
      <c r="Z312" s="51"/>
      <c r="AA312" s="51"/>
      <c r="AB312" s="51"/>
      <c r="AC312" s="51"/>
      <c r="AD312" s="51"/>
      <c r="AE312" s="51"/>
    </row>
    <row r="313" spans="1:31" ht="47.25" thickBot="1">
      <c r="A313" s="46">
        <v>8</v>
      </c>
      <c r="B313" s="45" t="s">
        <v>55</v>
      </c>
      <c r="C313" s="46"/>
      <c r="D313" s="51"/>
      <c r="E313" s="51"/>
      <c r="F313" s="51"/>
      <c r="G313" s="51"/>
      <c r="H313" s="51"/>
      <c r="I313" s="51">
        <v>102</v>
      </c>
      <c r="J313" s="51"/>
      <c r="K313" s="51"/>
      <c r="L313" s="51"/>
      <c r="M313" s="51"/>
      <c r="N313" s="52"/>
      <c r="O313" s="44"/>
      <c r="P313" s="52">
        <v>4</v>
      </c>
      <c r="Q313" s="44"/>
      <c r="R313" s="52"/>
      <c r="S313" s="44">
        <v>19</v>
      </c>
      <c r="T313" s="44"/>
      <c r="U313" s="52"/>
      <c r="V313" s="44"/>
      <c r="W313" s="52"/>
      <c r="X313" s="44"/>
      <c r="Y313" s="44"/>
      <c r="Z313" s="52"/>
      <c r="AA313" s="44"/>
      <c r="AB313" s="52"/>
      <c r="AC313" s="44"/>
      <c r="AD313" s="44"/>
      <c r="AE313" s="51"/>
    </row>
    <row r="314" spans="1:31" ht="47.25" thickBot="1">
      <c r="A314" s="44">
        <v>20</v>
      </c>
      <c r="B314" s="45" t="s">
        <v>43</v>
      </c>
      <c r="C314" s="46"/>
      <c r="D314" s="57"/>
      <c r="E314" s="57"/>
      <c r="F314" s="57">
        <v>5.6</v>
      </c>
      <c r="G314" s="57"/>
      <c r="H314" s="51"/>
      <c r="I314" s="51"/>
      <c r="J314" s="51"/>
      <c r="K314" s="51"/>
      <c r="L314" s="51">
        <v>1.3</v>
      </c>
      <c r="M314" s="51"/>
      <c r="N314" s="52"/>
      <c r="O314" s="46">
        <v>11</v>
      </c>
      <c r="P314" s="52"/>
      <c r="Q314" s="46"/>
      <c r="R314" s="52"/>
      <c r="S314" s="46"/>
      <c r="T314" s="52"/>
      <c r="U314" s="44"/>
      <c r="V314" s="46"/>
      <c r="W314" s="52"/>
      <c r="X314" s="44"/>
      <c r="Y314" s="46"/>
      <c r="Z314" s="46"/>
      <c r="AA314" s="52"/>
      <c r="AB314" s="44"/>
      <c r="AC314" s="46"/>
      <c r="AD314" s="52"/>
      <c r="AE314" s="46"/>
    </row>
    <row r="315" spans="1:31" ht="47.25" thickBot="1">
      <c r="A315" s="44" t="s">
        <v>45</v>
      </c>
      <c r="B315" s="45" t="s">
        <v>114</v>
      </c>
      <c r="C315" s="51">
        <v>25</v>
      </c>
      <c r="D315" s="51"/>
      <c r="E315" s="51"/>
      <c r="F315" s="51"/>
      <c r="G315" s="51"/>
      <c r="H315" s="51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1"/>
    </row>
    <row r="316" spans="1:31" ht="47.25" thickBot="1">
      <c r="A316" s="44" t="s">
        <v>45</v>
      </c>
      <c r="B316" s="45" t="s">
        <v>144</v>
      </c>
      <c r="C316" s="46"/>
      <c r="D316" s="51">
        <v>40</v>
      </c>
      <c r="E316" s="51"/>
      <c r="F316" s="51"/>
      <c r="G316" s="51"/>
      <c r="H316" s="51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1"/>
    </row>
    <row r="317" spans="1:31" ht="47.25" thickBot="1">
      <c r="A317" s="46"/>
      <c r="B317" s="48" t="s">
        <v>37</v>
      </c>
      <c r="C317" s="46">
        <f>SUM(C310:C316)</f>
        <v>25</v>
      </c>
      <c r="D317" s="46">
        <f aca="true" t="shared" si="59" ref="D317:AE317">SUM(D310:D316)</f>
        <v>40</v>
      </c>
      <c r="E317" s="46">
        <f t="shared" si="59"/>
        <v>0</v>
      </c>
      <c r="F317" s="46">
        <f t="shared" si="59"/>
        <v>5.6</v>
      </c>
      <c r="G317" s="46">
        <f t="shared" si="59"/>
        <v>4</v>
      </c>
      <c r="H317" s="46">
        <f t="shared" si="59"/>
        <v>0</v>
      </c>
      <c r="I317" s="46">
        <f t="shared" si="59"/>
        <v>162</v>
      </c>
      <c r="J317" s="46">
        <f t="shared" si="59"/>
        <v>84.2</v>
      </c>
      <c r="K317" s="46">
        <f t="shared" si="59"/>
        <v>0</v>
      </c>
      <c r="L317" s="46">
        <f t="shared" si="59"/>
        <v>1.3</v>
      </c>
      <c r="M317" s="46">
        <f t="shared" si="59"/>
        <v>0</v>
      </c>
      <c r="N317" s="46">
        <f t="shared" si="59"/>
        <v>0</v>
      </c>
      <c r="O317" s="46">
        <f t="shared" si="59"/>
        <v>11</v>
      </c>
      <c r="P317" s="46">
        <f t="shared" si="59"/>
        <v>7</v>
      </c>
      <c r="Q317" s="46">
        <f t="shared" si="59"/>
        <v>9</v>
      </c>
      <c r="R317" s="46">
        <f t="shared" si="59"/>
        <v>0</v>
      </c>
      <c r="S317" s="46">
        <f t="shared" si="59"/>
        <v>37</v>
      </c>
      <c r="T317" s="46">
        <f t="shared" si="59"/>
        <v>0</v>
      </c>
      <c r="U317" s="46">
        <f t="shared" si="59"/>
        <v>0</v>
      </c>
      <c r="V317" s="46">
        <f t="shared" si="59"/>
        <v>13</v>
      </c>
      <c r="W317" s="46">
        <f t="shared" si="59"/>
        <v>0</v>
      </c>
      <c r="X317" s="46">
        <f t="shared" si="59"/>
        <v>67</v>
      </c>
      <c r="Y317" s="46">
        <f t="shared" si="59"/>
        <v>6</v>
      </c>
      <c r="Z317" s="46">
        <f t="shared" si="59"/>
        <v>0</v>
      </c>
      <c r="AA317" s="46">
        <f t="shared" si="59"/>
        <v>0</v>
      </c>
      <c r="AB317" s="46">
        <f t="shared" si="59"/>
        <v>0</v>
      </c>
      <c r="AC317" s="46">
        <f t="shared" si="59"/>
        <v>0</v>
      </c>
      <c r="AD317" s="46">
        <f t="shared" si="59"/>
        <v>0</v>
      </c>
      <c r="AE317" s="46">
        <f t="shared" si="59"/>
        <v>0</v>
      </c>
    </row>
    <row r="318" spans="1:31" ht="46.5" customHeight="1" thickBot="1">
      <c r="A318" s="156" t="s">
        <v>207</v>
      </c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57"/>
    </row>
    <row r="319" spans="1:31" ht="47.25" thickBot="1">
      <c r="A319" s="46">
        <v>73</v>
      </c>
      <c r="B319" s="45" t="s">
        <v>212</v>
      </c>
      <c r="C319" s="46">
        <v>8</v>
      </c>
      <c r="D319" s="51"/>
      <c r="E319" s="51"/>
      <c r="F319" s="51"/>
      <c r="G319" s="51">
        <v>8</v>
      </c>
      <c r="H319" s="51"/>
      <c r="I319" s="57">
        <v>59</v>
      </c>
      <c r="J319" s="57">
        <v>127</v>
      </c>
      <c r="K319" s="57"/>
      <c r="L319" s="57"/>
      <c r="M319" s="57"/>
      <c r="N319" s="57"/>
      <c r="O319" s="57"/>
      <c r="P319" s="57">
        <v>3</v>
      </c>
      <c r="Q319" s="57">
        <v>6</v>
      </c>
      <c r="R319" s="57">
        <v>6</v>
      </c>
      <c r="S319" s="57"/>
      <c r="T319" s="57"/>
      <c r="U319" s="57"/>
      <c r="V319" s="57"/>
      <c r="W319" s="57"/>
      <c r="X319" s="57"/>
      <c r="Y319" s="57">
        <v>5</v>
      </c>
      <c r="Z319" s="57"/>
      <c r="AA319" s="57"/>
      <c r="AB319" s="57"/>
      <c r="AC319" s="57"/>
      <c r="AD319" s="65"/>
      <c r="AE319" s="44"/>
    </row>
    <row r="320" spans="1:31" ht="47.25" thickBot="1">
      <c r="A320" s="49">
        <v>31</v>
      </c>
      <c r="B320" s="50" t="s">
        <v>11</v>
      </c>
      <c r="C320" s="46"/>
      <c r="D320" s="51"/>
      <c r="E320" s="51"/>
      <c r="F320" s="51"/>
      <c r="G320" s="51"/>
      <c r="H320" s="51"/>
      <c r="I320" s="51"/>
      <c r="J320" s="51"/>
      <c r="K320" s="51"/>
      <c r="L320" s="51">
        <v>5</v>
      </c>
      <c r="M320" s="51"/>
      <c r="N320" s="51"/>
      <c r="O320" s="46">
        <v>9</v>
      </c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46">
        <v>0.5</v>
      </c>
      <c r="AB320" s="51"/>
      <c r="AC320" s="51"/>
      <c r="AD320" s="52"/>
      <c r="AE320" s="44"/>
    </row>
    <row r="321" spans="1:31" ht="47.25" thickBot="1">
      <c r="A321" s="44" t="s">
        <v>45</v>
      </c>
      <c r="B321" s="45" t="s">
        <v>114</v>
      </c>
      <c r="C321" s="51">
        <v>20</v>
      </c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</row>
    <row r="322" spans="1:31" ht="47.25" thickBot="1">
      <c r="A322" s="44">
        <v>21</v>
      </c>
      <c r="B322" s="73" t="s">
        <v>38</v>
      </c>
      <c r="C322" s="44"/>
      <c r="D322" s="51"/>
      <c r="E322" s="44"/>
      <c r="F322" s="44"/>
      <c r="G322" s="44"/>
      <c r="H322" s="51"/>
      <c r="I322" s="51"/>
      <c r="J322" s="51"/>
      <c r="K322" s="51"/>
      <c r="L322" s="51"/>
      <c r="M322" s="51"/>
      <c r="N322" s="52"/>
      <c r="O322" s="46"/>
      <c r="P322" s="52"/>
      <c r="Q322" s="46"/>
      <c r="R322" s="52"/>
      <c r="S322" s="46">
        <v>145</v>
      </c>
      <c r="T322" s="52"/>
      <c r="U322" s="46"/>
      <c r="V322" s="46"/>
      <c r="W322" s="52"/>
      <c r="X322" s="46"/>
      <c r="Y322" s="46"/>
      <c r="Z322" s="52"/>
      <c r="AA322" s="46"/>
      <c r="AB322" s="46"/>
      <c r="AC322" s="52"/>
      <c r="AD322" s="46"/>
      <c r="AE322" s="51"/>
    </row>
    <row r="323" spans="1:31" ht="47.25" thickBot="1">
      <c r="A323" s="44">
        <v>36</v>
      </c>
      <c r="B323" s="45" t="s">
        <v>132</v>
      </c>
      <c r="C323" s="46"/>
      <c r="D323" s="51"/>
      <c r="E323" s="51">
        <v>30</v>
      </c>
      <c r="F323" s="51"/>
      <c r="G323" s="51"/>
      <c r="H323" s="51"/>
      <c r="I323" s="51"/>
      <c r="J323" s="51"/>
      <c r="K323" s="51"/>
      <c r="L323" s="51"/>
      <c r="M323" s="51"/>
      <c r="N323" s="51"/>
      <c r="O323" s="51">
        <v>9</v>
      </c>
      <c r="P323" s="51">
        <v>2.5</v>
      </c>
      <c r="Q323" s="51">
        <v>0.7</v>
      </c>
      <c r="R323" s="51">
        <v>9</v>
      </c>
      <c r="S323" s="51"/>
      <c r="T323" s="51"/>
      <c r="U323" s="51"/>
      <c r="V323" s="51"/>
      <c r="W323" s="51"/>
      <c r="X323" s="51"/>
      <c r="Y323" s="51">
        <v>23</v>
      </c>
      <c r="Z323" s="51"/>
      <c r="AA323" s="51"/>
      <c r="AB323" s="51"/>
      <c r="AC323" s="51"/>
      <c r="AD323" s="51"/>
      <c r="AE323" s="92"/>
    </row>
    <row r="324" spans="1:31" ht="47.25" thickBot="1">
      <c r="A324" s="44"/>
      <c r="B324" s="45" t="s">
        <v>37</v>
      </c>
      <c r="C324" s="46">
        <f>SUM(C319:C323)</f>
        <v>28</v>
      </c>
      <c r="D324" s="46">
        <f aca="true" t="shared" si="60" ref="D324:AE324">SUM(D319:D323)</f>
        <v>0</v>
      </c>
      <c r="E324" s="46">
        <f t="shared" si="60"/>
        <v>30</v>
      </c>
      <c r="F324" s="46">
        <f t="shared" si="60"/>
        <v>0</v>
      </c>
      <c r="G324" s="46">
        <f t="shared" si="60"/>
        <v>8</v>
      </c>
      <c r="H324" s="46">
        <f t="shared" si="60"/>
        <v>0</v>
      </c>
      <c r="I324" s="46">
        <f t="shared" si="60"/>
        <v>59</v>
      </c>
      <c r="J324" s="46">
        <f t="shared" si="60"/>
        <v>127</v>
      </c>
      <c r="K324" s="46">
        <f t="shared" si="60"/>
        <v>0</v>
      </c>
      <c r="L324" s="46">
        <f t="shared" si="60"/>
        <v>5</v>
      </c>
      <c r="M324" s="46">
        <f t="shared" si="60"/>
        <v>0</v>
      </c>
      <c r="N324" s="46">
        <f t="shared" si="60"/>
        <v>0</v>
      </c>
      <c r="O324" s="46">
        <f t="shared" si="60"/>
        <v>18</v>
      </c>
      <c r="P324" s="46">
        <f t="shared" si="60"/>
        <v>5.5</v>
      </c>
      <c r="Q324" s="46">
        <f t="shared" si="60"/>
        <v>6.7</v>
      </c>
      <c r="R324" s="46">
        <f t="shared" si="60"/>
        <v>15</v>
      </c>
      <c r="S324" s="46">
        <f t="shared" si="60"/>
        <v>145</v>
      </c>
      <c r="T324" s="46">
        <f t="shared" si="60"/>
        <v>0</v>
      </c>
      <c r="U324" s="46">
        <f t="shared" si="60"/>
        <v>0</v>
      </c>
      <c r="V324" s="46">
        <f t="shared" si="60"/>
        <v>0</v>
      </c>
      <c r="W324" s="46">
        <f t="shared" si="60"/>
        <v>0</v>
      </c>
      <c r="X324" s="46">
        <f t="shared" si="60"/>
        <v>0</v>
      </c>
      <c r="Y324" s="46">
        <f t="shared" si="60"/>
        <v>28</v>
      </c>
      <c r="Z324" s="46">
        <f t="shared" si="60"/>
        <v>0</v>
      </c>
      <c r="AA324" s="46">
        <f t="shared" si="60"/>
        <v>0.5</v>
      </c>
      <c r="AB324" s="46">
        <f t="shared" si="60"/>
        <v>0</v>
      </c>
      <c r="AC324" s="46">
        <f t="shared" si="60"/>
        <v>0</v>
      </c>
      <c r="AD324" s="46">
        <f t="shared" si="60"/>
        <v>0</v>
      </c>
      <c r="AE324" s="46">
        <f t="shared" si="60"/>
        <v>0</v>
      </c>
    </row>
    <row r="325" spans="1:31" ht="93.75" thickBot="1">
      <c r="A325" s="95"/>
      <c r="B325" s="45" t="s">
        <v>145</v>
      </c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>
        <v>4</v>
      </c>
      <c r="AE325" s="46"/>
    </row>
    <row r="326" spans="1:31" ht="47.25" thickBot="1">
      <c r="A326" s="44"/>
      <c r="B326" s="74" t="s">
        <v>12</v>
      </c>
      <c r="C326" s="46">
        <f>SUM(C304+C317+C324+C308)</f>
        <v>73</v>
      </c>
      <c r="D326" s="46">
        <f aca="true" t="shared" si="61" ref="D326:AE326">SUM(D304+D317+D324+D308)</f>
        <v>40</v>
      </c>
      <c r="E326" s="46">
        <f t="shared" si="61"/>
        <v>30</v>
      </c>
      <c r="F326" s="46">
        <f t="shared" si="61"/>
        <v>5.6</v>
      </c>
      <c r="G326" s="46">
        <f t="shared" si="61"/>
        <v>12</v>
      </c>
      <c r="H326" s="46">
        <f t="shared" si="61"/>
        <v>12</v>
      </c>
      <c r="I326" s="46">
        <f t="shared" si="61"/>
        <v>221</v>
      </c>
      <c r="J326" s="46">
        <f t="shared" si="61"/>
        <v>211.2</v>
      </c>
      <c r="K326" s="46">
        <f t="shared" si="61"/>
        <v>90</v>
      </c>
      <c r="L326" s="46">
        <f t="shared" si="61"/>
        <v>106.3</v>
      </c>
      <c r="M326" s="46">
        <f t="shared" si="61"/>
        <v>0</v>
      </c>
      <c r="N326" s="46">
        <f t="shared" si="61"/>
        <v>0</v>
      </c>
      <c r="O326" s="46">
        <f t="shared" si="61"/>
        <v>39.5</v>
      </c>
      <c r="P326" s="46">
        <f t="shared" si="61"/>
        <v>13.25</v>
      </c>
      <c r="Q326" s="46">
        <f t="shared" si="61"/>
        <v>15.7</v>
      </c>
      <c r="R326" s="46">
        <f t="shared" si="61"/>
        <v>15</v>
      </c>
      <c r="S326" s="46">
        <f t="shared" si="61"/>
        <v>378</v>
      </c>
      <c r="T326" s="46">
        <f t="shared" si="61"/>
        <v>0</v>
      </c>
      <c r="U326" s="46">
        <f t="shared" si="61"/>
        <v>0</v>
      </c>
      <c r="V326" s="46">
        <f t="shared" si="61"/>
        <v>13</v>
      </c>
      <c r="W326" s="46">
        <f t="shared" si="61"/>
        <v>0</v>
      </c>
      <c r="X326" s="46">
        <f t="shared" si="61"/>
        <v>67</v>
      </c>
      <c r="Y326" s="46">
        <f t="shared" si="61"/>
        <v>34</v>
      </c>
      <c r="Z326" s="46">
        <f t="shared" si="61"/>
        <v>0</v>
      </c>
      <c r="AA326" s="46">
        <f t="shared" si="61"/>
        <v>0.5</v>
      </c>
      <c r="AB326" s="46">
        <f t="shared" si="61"/>
        <v>0</v>
      </c>
      <c r="AC326" s="46">
        <f t="shared" si="61"/>
        <v>1</v>
      </c>
      <c r="AD326" s="46">
        <v>4</v>
      </c>
      <c r="AE326" s="46">
        <f t="shared" si="61"/>
        <v>0</v>
      </c>
    </row>
    <row r="327" spans="1:31" ht="45.75" customHeight="1">
      <c r="A327" s="160"/>
      <c r="B327" s="161"/>
      <c r="C327" s="154" t="s">
        <v>114</v>
      </c>
      <c r="D327" s="154" t="s">
        <v>115</v>
      </c>
      <c r="E327" s="154" t="s">
        <v>116</v>
      </c>
      <c r="F327" s="154" t="s">
        <v>117</v>
      </c>
      <c r="G327" s="154" t="s">
        <v>109</v>
      </c>
      <c r="H327" s="154" t="s">
        <v>118</v>
      </c>
      <c r="I327" s="154" t="s">
        <v>246</v>
      </c>
      <c r="J327" s="154" t="s">
        <v>247</v>
      </c>
      <c r="K327" s="90"/>
      <c r="L327" s="154" t="s">
        <v>217</v>
      </c>
      <c r="M327" s="154" t="s">
        <v>121</v>
      </c>
      <c r="N327" s="154" t="s">
        <v>81</v>
      </c>
      <c r="O327" s="154" t="s">
        <v>82</v>
      </c>
      <c r="P327" s="154" t="s">
        <v>122</v>
      </c>
      <c r="Q327" s="154" t="s">
        <v>83</v>
      </c>
      <c r="R327" s="154" t="s">
        <v>123</v>
      </c>
      <c r="S327" s="154" t="s">
        <v>126</v>
      </c>
      <c r="T327" s="154" t="s">
        <v>143</v>
      </c>
      <c r="U327" s="90"/>
      <c r="V327" s="154" t="s">
        <v>248</v>
      </c>
      <c r="W327" s="154" t="s">
        <v>249</v>
      </c>
      <c r="X327" s="154" t="s">
        <v>250</v>
      </c>
      <c r="Y327" s="154" t="s">
        <v>84</v>
      </c>
      <c r="Z327" s="154" t="s">
        <v>85</v>
      </c>
      <c r="AA327" s="154" t="s">
        <v>89</v>
      </c>
      <c r="AB327" s="90"/>
      <c r="AC327" s="154" t="s">
        <v>124</v>
      </c>
      <c r="AD327" s="154" t="s">
        <v>86</v>
      </c>
      <c r="AE327" s="154" t="s">
        <v>125</v>
      </c>
    </row>
    <row r="328" spans="1:31" ht="344.25" thickBot="1">
      <c r="A328" s="162"/>
      <c r="B328" s="163"/>
      <c r="C328" s="155"/>
      <c r="D328" s="155"/>
      <c r="E328" s="155"/>
      <c r="F328" s="155"/>
      <c r="G328" s="155"/>
      <c r="H328" s="155"/>
      <c r="I328" s="155"/>
      <c r="J328" s="155"/>
      <c r="K328" s="91" t="s">
        <v>119</v>
      </c>
      <c r="L328" s="155"/>
      <c r="M328" s="155"/>
      <c r="N328" s="155"/>
      <c r="O328" s="155"/>
      <c r="P328" s="155"/>
      <c r="Q328" s="155"/>
      <c r="R328" s="155"/>
      <c r="S328" s="155"/>
      <c r="T328" s="155"/>
      <c r="U328" s="91" t="s">
        <v>111</v>
      </c>
      <c r="V328" s="155"/>
      <c r="W328" s="155"/>
      <c r="X328" s="155"/>
      <c r="Y328" s="155"/>
      <c r="Z328" s="155"/>
      <c r="AA328" s="155"/>
      <c r="AB328" s="91" t="s">
        <v>110</v>
      </c>
      <c r="AC328" s="155"/>
      <c r="AD328" s="155"/>
      <c r="AE328" s="155"/>
    </row>
    <row r="329" spans="1:31" ht="47.25" thickBot="1">
      <c r="A329" s="156">
        <v>1</v>
      </c>
      <c r="B329" s="157"/>
      <c r="C329" s="68">
        <v>2</v>
      </c>
      <c r="D329" s="69" t="s">
        <v>112</v>
      </c>
      <c r="E329" s="70">
        <v>4</v>
      </c>
      <c r="F329" s="69">
        <v>5</v>
      </c>
      <c r="G329" s="69">
        <v>6</v>
      </c>
      <c r="H329" s="69">
        <v>7</v>
      </c>
      <c r="I329" s="69">
        <v>8</v>
      </c>
      <c r="J329" s="69" t="s">
        <v>113</v>
      </c>
      <c r="K329" s="70">
        <v>10</v>
      </c>
      <c r="L329" s="69">
        <v>11</v>
      </c>
      <c r="M329" s="69">
        <v>12</v>
      </c>
      <c r="N329" s="69">
        <v>13</v>
      </c>
      <c r="O329" s="69">
        <v>14</v>
      </c>
      <c r="P329" s="69">
        <v>15</v>
      </c>
      <c r="Q329" s="94">
        <v>16</v>
      </c>
      <c r="R329" s="69">
        <v>17</v>
      </c>
      <c r="S329" s="94">
        <v>18</v>
      </c>
      <c r="T329" s="69">
        <v>19</v>
      </c>
      <c r="U329" s="94">
        <v>20</v>
      </c>
      <c r="V329" s="94">
        <v>21</v>
      </c>
      <c r="W329" s="69">
        <v>22</v>
      </c>
      <c r="X329" s="69">
        <v>23</v>
      </c>
      <c r="Y329" s="94">
        <v>24</v>
      </c>
      <c r="Z329" s="69">
        <v>25</v>
      </c>
      <c r="AA329" s="69">
        <v>26</v>
      </c>
      <c r="AB329" s="69">
        <v>27</v>
      </c>
      <c r="AC329" s="94">
        <v>28</v>
      </c>
      <c r="AD329" s="69">
        <v>29</v>
      </c>
      <c r="AE329" s="69">
        <v>30</v>
      </c>
    </row>
    <row r="330" spans="1:31" ht="47.25" thickBot="1">
      <c r="A330" s="158" t="s">
        <v>48</v>
      </c>
      <c r="B330" s="159"/>
      <c r="C330" s="46">
        <f aca="true" t="shared" si="62" ref="C330:AE330">SUM(C37+C68+C100+C132+C166+C199+C231+C264+C294+C326)</f>
        <v>634</v>
      </c>
      <c r="D330" s="46">
        <f t="shared" si="62"/>
        <v>400</v>
      </c>
      <c r="E330" s="46">
        <f t="shared" si="62"/>
        <v>237.6</v>
      </c>
      <c r="F330" s="46">
        <f t="shared" si="62"/>
        <v>28</v>
      </c>
      <c r="G330" s="46">
        <f t="shared" si="62"/>
        <v>281</v>
      </c>
      <c r="H330" s="46">
        <f t="shared" si="62"/>
        <v>78</v>
      </c>
      <c r="I330" s="46">
        <f t="shared" si="62"/>
        <v>1115</v>
      </c>
      <c r="J330" s="46">
        <f t="shared" si="62"/>
        <v>1864.5000000000002</v>
      </c>
      <c r="K330" s="46">
        <f t="shared" si="62"/>
        <v>900</v>
      </c>
      <c r="L330" s="46">
        <f t="shared" si="62"/>
        <v>1069.5</v>
      </c>
      <c r="M330" s="46">
        <f t="shared" si="62"/>
        <v>90</v>
      </c>
      <c r="N330" s="46">
        <f t="shared" si="62"/>
        <v>64.9</v>
      </c>
      <c r="O330" s="46">
        <f t="shared" si="62"/>
        <v>367.20000000000005</v>
      </c>
      <c r="P330" s="46">
        <f t="shared" si="62"/>
        <v>200.1</v>
      </c>
      <c r="Q330" s="46">
        <f t="shared" si="62"/>
        <v>80</v>
      </c>
      <c r="R330" s="46">
        <f t="shared" si="62"/>
        <v>195.6</v>
      </c>
      <c r="S330" s="46">
        <f t="shared" si="62"/>
        <v>3509</v>
      </c>
      <c r="T330" s="46">
        <f t="shared" si="62"/>
        <v>294</v>
      </c>
      <c r="U330" s="46">
        <f t="shared" si="62"/>
        <v>46</v>
      </c>
      <c r="V330" s="46">
        <f t="shared" si="62"/>
        <v>465</v>
      </c>
      <c r="W330" s="46">
        <f t="shared" si="62"/>
        <v>194</v>
      </c>
      <c r="X330" s="46">
        <f t="shared" si="62"/>
        <v>293</v>
      </c>
      <c r="Y330" s="46">
        <f t="shared" si="62"/>
        <v>89.8</v>
      </c>
      <c r="Z330" s="46">
        <f t="shared" si="62"/>
        <v>38.4</v>
      </c>
      <c r="AA330" s="46">
        <f t="shared" si="62"/>
        <v>5</v>
      </c>
      <c r="AB330" s="46">
        <f t="shared" si="62"/>
        <v>10</v>
      </c>
      <c r="AC330" s="46">
        <f t="shared" si="62"/>
        <v>5</v>
      </c>
      <c r="AD330" s="46">
        <f t="shared" si="62"/>
        <v>40</v>
      </c>
      <c r="AE330" s="46">
        <f t="shared" si="62"/>
        <v>3.8</v>
      </c>
    </row>
    <row r="331" spans="1:31" ht="104.25" customHeight="1" thickBot="1">
      <c r="A331" s="158" t="s">
        <v>96</v>
      </c>
      <c r="B331" s="159"/>
      <c r="C331" s="46">
        <f>C330/10</f>
        <v>63.4</v>
      </c>
      <c r="D331" s="46">
        <f aca="true" t="shared" si="63" ref="D331:AD331">D330/10</f>
        <v>40</v>
      </c>
      <c r="E331" s="46">
        <f t="shared" si="63"/>
        <v>23.759999999999998</v>
      </c>
      <c r="F331" s="46">
        <f t="shared" si="63"/>
        <v>2.8</v>
      </c>
      <c r="G331" s="46">
        <f t="shared" si="63"/>
        <v>28.1</v>
      </c>
      <c r="H331" s="46">
        <f t="shared" si="63"/>
        <v>7.8</v>
      </c>
      <c r="I331" s="46">
        <f t="shared" si="63"/>
        <v>111.5</v>
      </c>
      <c r="J331" s="46">
        <f t="shared" si="63"/>
        <v>186.45000000000002</v>
      </c>
      <c r="K331" s="46">
        <f t="shared" si="63"/>
        <v>90</v>
      </c>
      <c r="L331" s="46">
        <f t="shared" si="63"/>
        <v>106.95</v>
      </c>
      <c r="M331" s="46">
        <f t="shared" si="63"/>
        <v>9</v>
      </c>
      <c r="N331" s="46">
        <f t="shared" si="63"/>
        <v>6.49</v>
      </c>
      <c r="O331" s="46">
        <f t="shared" si="63"/>
        <v>36.720000000000006</v>
      </c>
      <c r="P331" s="46">
        <f t="shared" si="63"/>
        <v>20.009999999999998</v>
      </c>
      <c r="Q331" s="46">
        <f t="shared" si="63"/>
        <v>8</v>
      </c>
      <c r="R331" s="46">
        <f t="shared" si="63"/>
        <v>19.56</v>
      </c>
      <c r="S331" s="46">
        <f t="shared" si="63"/>
        <v>350.9</v>
      </c>
      <c r="T331" s="46">
        <f t="shared" si="63"/>
        <v>29.4</v>
      </c>
      <c r="U331" s="46">
        <f t="shared" si="63"/>
        <v>4.6</v>
      </c>
      <c r="V331" s="46">
        <f t="shared" si="63"/>
        <v>46.5</v>
      </c>
      <c r="W331" s="46">
        <f t="shared" si="63"/>
        <v>19.4</v>
      </c>
      <c r="X331" s="46">
        <f t="shared" si="63"/>
        <v>29.3</v>
      </c>
      <c r="Y331" s="46">
        <f t="shared" si="63"/>
        <v>8.98</v>
      </c>
      <c r="Z331" s="46">
        <f t="shared" si="63"/>
        <v>3.84</v>
      </c>
      <c r="AA331" s="46">
        <f t="shared" si="63"/>
        <v>0.5</v>
      </c>
      <c r="AB331" s="46">
        <f t="shared" si="63"/>
        <v>1</v>
      </c>
      <c r="AC331" s="46">
        <f t="shared" si="63"/>
        <v>0.5</v>
      </c>
      <c r="AD331" s="46">
        <f t="shared" si="63"/>
        <v>4</v>
      </c>
      <c r="AE331" s="46">
        <f>AE330/10</f>
        <v>0.38</v>
      </c>
    </row>
    <row r="332" spans="1:31" ht="182.25" customHeight="1" thickBot="1">
      <c r="A332" s="158" t="s">
        <v>95</v>
      </c>
      <c r="B332" s="159"/>
      <c r="C332" s="46">
        <v>66.5</v>
      </c>
      <c r="D332" s="57">
        <v>38</v>
      </c>
      <c r="E332" s="57">
        <v>23.75</v>
      </c>
      <c r="F332" s="57">
        <v>2.85</v>
      </c>
      <c r="G332" s="57">
        <v>28.5</v>
      </c>
      <c r="H332" s="51">
        <v>7.6</v>
      </c>
      <c r="I332" s="51">
        <v>114</v>
      </c>
      <c r="J332" s="51">
        <v>194.75</v>
      </c>
      <c r="K332" s="51">
        <v>95</v>
      </c>
      <c r="L332" s="51">
        <v>102.6</v>
      </c>
      <c r="M332" s="51">
        <v>8.55</v>
      </c>
      <c r="N332" s="51">
        <v>6.65</v>
      </c>
      <c r="O332" s="51">
        <v>35.15</v>
      </c>
      <c r="P332" s="51">
        <v>20.9</v>
      </c>
      <c r="Q332" s="51">
        <v>8.55</v>
      </c>
      <c r="R332" s="51">
        <v>19</v>
      </c>
      <c r="S332" s="51">
        <v>370.5</v>
      </c>
      <c r="T332" s="51">
        <v>28.5</v>
      </c>
      <c r="U332" s="51">
        <v>4.75</v>
      </c>
      <c r="V332" s="51">
        <v>47.5</v>
      </c>
      <c r="W332" s="51">
        <v>19</v>
      </c>
      <c r="X332" s="51">
        <v>30.4</v>
      </c>
      <c r="Y332" s="51">
        <v>8.55</v>
      </c>
      <c r="Z332" s="51">
        <v>4</v>
      </c>
      <c r="AA332" s="51">
        <v>0.48</v>
      </c>
      <c r="AB332" s="51">
        <v>0.95</v>
      </c>
      <c r="AC332" s="51">
        <v>0.48</v>
      </c>
      <c r="AD332" s="52">
        <v>3.8</v>
      </c>
      <c r="AE332" s="46">
        <v>0.38</v>
      </c>
    </row>
    <row r="333" spans="1:31" ht="139.5" customHeight="1" thickBot="1">
      <c r="A333" s="158" t="s">
        <v>162</v>
      </c>
      <c r="B333" s="159"/>
      <c r="C333" s="80">
        <f>C331*100/C332</f>
        <v>95.33834586466165</v>
      </c>
      <c r="D333" s="80">
        <f aca="true" t="shared" si="64" ref="D333:AE333">D331*100/D332</f>
        <v>105.26315789473684</v>
      </c>
      <c r="E333" s="80">
        <f t="shared" si="64"/>
        <v>100.0421052631579</v>
      </c>
      <c r="F333" s="80">
        <f t="shared" si="64"/>
        <v>98.24561403508771</v>
      </c>
      <c r="G333" s="80">
        <f t="shared" si="64"/>
        <v>98.59649122807018</v>
      </c>
      <c r="H333" s="80">
        <f t="shared" si="64"/>
        <v>102.63157894736842</v>
      </c>
      <c r="I333" s="80">
        <f t="shared" si="64"/>
        <v>97.80701754385964</v>
      </c>
      <c r="J333" s="80">
        <f t="shared" si="64"/>
        <v>95.73812580231065</v>
      </c>
      <c r="K333" s="80">
        <f t="shared" si="64"/>
        <v>94.73684210526316</v>
      </c>
      <c r="L333" s="80">
        <f t="shared" si="64"/>
        <v>104.23976608187135</v>
      </c>
      <c r="M333" s="80">
        <f t="shared" si="64"/>
        <v>105.26315789473684</v>
      </c>
      <c r="N333" s="80">
        <f t="shared" si="64"/>
        <v>97.59398496240601</v>
      </c>
      <c r="O333" s="80">
        <f t="shared" si="64"/>
        <v>104.4665718349929</v>
      </c>
      <c r="P333" s="80">
        <f t="shared" si="64"/>
        <v>95.74162679425837</v>
      </c>
      <c r="Q333" s="80">
        <f t="shared" si="64"/>
        <v>93.56725146198829</v>
      </c>
      <c r="R333" s="80">
        <f t="shared" si="64"/>
        <v>102.94736842105262</v>
      </c>
      <c r="S333" s="80">
        <f t="shared" si="64"/>
        <v>94.70985155195682</v>
      </c>
      <c r="T333" s="80">
        <f t="shared" si="64"/>
        <v>103.15789473684211</v>
      </c>
      <c r="U333" s="80">
        <f t="shared" si="64"/>
        <v>96.84210526315788</v>
      </c>
      <c r="V333" s="80">
        <f t="shared" si="64"/>
        <v>97.89473684210526</v>
      </c>
      <c r="W333" s="80">
        <f t="shared" si="64"/>
        <v>102.10526315789473</v>
      </c>
      <c r="X333" s="80">
        <f t="shared" si="64"/>
        <v>96.38157894736842</v>
      </c>
      <c r="Y333" s="80">
        <f t="shared" si="64"/>
        <v>105.02923976608186</v>
      </c>
      <c r="Z333" s="80">
        <f t="shared" si="64"/>
        <v>96</v>
      </c>
      <c r="AA333" s="80">
        <f t="shared" si="64"/>
        <v>104.16666666666667</v>
      </c>
      <c r="AB333" s="80">
        <f t="shared" si="64"/>
        <v>105.26315789473685</v>
      </c>
      <c r="AC333" s="80">
        <f t="shared" si="64"/>
        <v>104.16666666666667</v>
      </c>
      <c r="AD333" s="80">
        <f t="shared" si="64"/>
        <v>105.26315789473685</v>
      </c>
      <c r="AE333" s="80">
        <f t="shared" si="64"/>
        <v>100</v>
      </c>
    </row>
    <row r="334" spans="1:31" ht="190.5" customHeight="1" thickBot="1">
      <c r="A334" s="158" t="s">
        <v>245</v>
      </c>
      <c r="B334" s="159"/>
      <c r="C334" s="80">
        <f>C333-100</f>
        <v>-4.6616541353383525</v>
      </c>
      <c r="D334" s="80">
        <f aca="true" t="shared" si="65" ref="D334:AE334">D333-100</f>
        <v>5.263157894736835</v>
      </c>
      <c r="E334" s="80">
        <f t="shared" si="65"/>
        <v>0.04210526315789309</v>
      </c>
      <c r="F334" s="80">
        <f t="shared" si="65"/>
        <v>-1.754385964912288</v>
      </c>
      <c r="G334" s="80">
        <f t="shared" si="65"/>
        <v>-1.4035087719298218</v>
      </c>
      <c r="H334" s="80">
        <f t="shared" si="65"/>
        <v>2.631578947368425</v>
      </c>
      <c r="I334" s="80">
        <f t="shared" si="65"/>
        <v>-2.1929824561403564</v>
      </c>
      <c r="J334" s="80">
        <f t="shared" si="65"/>
        <v>-4.261874197689352</v>
      </c>
      <c r="K334" s="80">
        <f t="shared" si="65"/>
        <v>-5.263157894736835</v>
      </c>
      <c r="L334" s="80">
        <f t="shared" si="65"/>
        <v>4.239766081871352</v>
      </c>
      <c r="M334" s="80">
        <f t="shared" si="65"/>
        <v>5.263157894736835</v>
      </c>
      <c r="N334" s="80">
        <f t="shared" si="65"/>
        <v>-2.4060150375939884</v>
      </c>
      <c r="O334" s="80">
        <f t="shared" si="65"/>
        <v>4.466571834992905</v>
      </c>
      <c r="P334" s="80">
        <f t="shared" si="65"/>
        <v>-4.258373205741634</v>
      </c>
      <c r="Q334" s="80">
        <f t="shared" si="65"/>
        <v>-6.432748538011708</v>
      </c>
      <c r="R334" s="80">
        <f t="shared" si="65"/>
        <v>2.947368421052616</v>
      </c>
      <c r="S334" s="80">
        <f t="shared" si="65"/>
        <v>-5.290148448043183</v>
      </c>
      <c r="T334" s="80">
        <f t="shared" si="65"/>
        <v>3.1578947368421098</v>
      </c>
      <c r="U334" s="80">
        <f t="shared" si="65"/>
        <v>-3.157894736842124</v>
      </c>
      <c r="V334" s="80">
        <f t="shared" si="65"/>
        <v>-2.10526315789474</v>
      </c>
      <c r="W334" s="80">
        <f t="shared" si="65"/>
        <v>2.1052631578947256</v>
      </c>
      <c r="X334" s="80">
        <f t="shared" si="65"/>
        <v>-3.618421052631575</v>
      </c>
      <c r="Y334" s="80">
        <f t="shared" si="65"/>
        <v>5.029239766081858</v>
      </c>
      <c r="Z334" s="80">
        <f t="shared" si="65"/>
        <v>-4</v>
      </c>
      <c r="AA334" s="80">
        <f t="shared" si="65"/>
        <v>4.166666666666671</v>
      </c>
      <c r="AB334" s="80">
        <f t="shared" si="65"/>
        <v>5.26315789473685</v>
      </c>
      <c r="AC334" s="80">
        <f t="shared" si="65"/>
        <v>4.166666666666671</v>
      </c>
      <c r="AD334" s="80">
        <f t="shared" si="65"/>
        <v>5.26315789473685</v>
      </c>
      <c r="AE334" s="80">
        <f t="shared" si="65"/>
        <v>0</v>
      </c>
    </row>
    <row r="335" spans="1:31" ht="46.5">
      <c r="A335" s="81"/>
      <c r="AE335" s="72"/>
    </row>
    <row r="336" spans="1:31" ht="46.5">
      <c r="A336" s="81"/>
      <c r="B336" s="83" t="s">
        <v>220</v>
      </c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AE336" s="72"/>
    </row>
    <row r="337" spans="1:31" ht="46.5">
      <c r="A337" s="81"/>
      <c r="B337" s="83" t="s">
        <v>176</v>
      </c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1"/>
      <c r="Y337" s="81"/>
      <c r="Z337" s="81"/>
      <c r="AA337" s="81"/>
      <c r="AB337" s="81"/>
      <c r="AC337" s="81"/>
      <c r="AD337" s="81"/>
      <c r="AE337" s="81"/>
    </row>
    <row r="338" spans="1:31" ht="46.5">
      <c r="A338" s="81"/>
      <c r="X338" s="81"/>
      <c r="Y338" s="81"/>
      <c r="Z338" s="81"/>
      <c r="AA338" s="81"/>
      <c r="AB338" s="81"/>
      <c r="AC338" s="81"/>
      <c r="AD338" s="81"/>
      <c r="AE338" s="81"/>
    </row>
    <row r="382" spans="1:34" ht="46.5">
      <c r="A382" s="81"/>
      <c r="AH382" s="98"/>
    </row>
    <row r="386" spans="1:35" s="96" customFormat="1" ht="46.5">
      <c r="A386" s="82"/>
      <c r="B386" s="81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1"/>
      <c r="AG386" s="81"/>
      <c r="AH386" s="81"/>
      <c r="AI386" s="81"/>
    </row>
    <row r="407" ht="47.25" thickBot="1">
      <c r="AF407" s="75"/>
    </row>
    <row r="408" ht="46.5">
      <c r="A408" s="81"/>
    </row>
    <row r="421" ht="46.5">
      <c r="AF421" s="96"/>
    </row>
    <row r="422" ht="46.5">
      <c r="A422" s="81"/>
    </row>
    <row r="423" spans="1:35" ht="46.5">
      <c r="A423" s="81"/>
      <c r="AG423" s="96"/>
      <c r="AH423" s="96"/>
      <c r="AI423" s="96"/>
    </row>
    <row r="450" spans="1:35" s="96" customFormat="1" ht="46.5">
      <c r="A450" s="82"/>
      <c r="B450" s="81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1"/>
      <c r="AG450" s="81"/>
      <c r="AH450" s="81"/>
      <c r="AI450" s="81"/>
    </row>
  </sheetData>
  <sheetProtection/>
  <mergeCells count="374">
    <mergeCell ref="A1:AF2"/>
    <mergeCell ref="I5:I6"/>
    <mergeCell ref="J5:J6"/>
    <mergeCell ref="A5:A6"/>
    <mergeCell ref="B5:B6"/>
    <mergeCell ref="N5:N6"/>
    <mergeCell ref="P5:P6"/>
    <mergeCell ref="F5:F6"/>
    <mergeCell ref="A3:AE3"/>
    <mergeCell ref="A4:AE4"/>
    <mergeCell ref="AC5:AC6"/>
    <mergeCell ref="AE5:AE6"/>
    <mergeCell ref="H5:H6"/>
    <mergeCell ref="X5:X6"/>
    <mergeCell ref="V5:V6"/>
    <mergeCell ref="T5:T6"/>
    <mergeCell ref="W5:W6"/>
    <mergeCell ref="R5:R6"/>
    <mergeCell ref="Q5:Q6"/>
    <mergeCell ref="S5:S6"/>
    <mergeCell ref="Z5:Z6"/>
    <mergeCell ref="AA5:AA6"/>
    <mergeCell ref="A39:AE39"/>
    <mergeCell ref="A8:AE8"/>
    <mergeCell ref="A15:AE15"/>
    <mergeCell ref="A19:AE19"/>
    <mergeCell ref="A28:AE28"/>
    <mergeCell ref="A38:AE38"/>
    <mergeCell ref="C5:C6"/>
    <mergeCell ref="D5:D6"/>
    <mergeCell ref="E5:E6"/>
    <mergeCell ref="AD5:AD6"/>
    <mergeCell ref="Y5:Y6"/>
    <mergeCell ref="G5:G6"/>
    <mergeCell ref="L5:L6"/>
    <mergeCell ref="M5:M6"/>
    <mergeCell ref="O5:O6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L40:L41"/>
    <mergeCell ref="M40:M41"/>
    <mergeCell ref="Z40:Z41"/>
    <mergeCell ref="AA40:AA41"/>
    <mergeCell ref="AE40:AE41"/>
    <mergeCell ref="N40:N41"/>
    <mergeCell ref="O40:O41"/>
    <mergeCell ref="P40:P41"/>
    <mergeCell ref="AC40:AC41"/>
    <mergeCell ref="Q40:Q41"/>
    <mergeCell ref="R40:R41"/>
    <mergeCell ref="AD40:AD41"/>
    <mergeCell ref="A69:AE69"/>
    <mergeCell ref="A70:AE70"/>
    <mergeCell ref="S40:S41"/>
    <mergeCell ref="T40:T41"/>
    <mergeCell ref="V40:V41"/>
    <mergeCell ref="W40:W41"/>
    <mergeCell ref="A61:AE61"/>
    <mergeCell ref="X40:X41"/>
    <mergeCell ref="Y40:Y41"/>
    <mergeCell ref="E71:E72"/>
    <mergeCell ref="F71:F72"/>
    <mergeCell ref="A43:AE43"/>
    <mergeCell ref="A48:AE48"/>
    <mergeCell ref="A52:AE52"/>
    <mergeCell ref="A71:A72"/>
    <mergeCell ref="B71:B72"/>
    <mergeCell ref="C71:C72"/>
    <mergeCell ref="D71:D72"/>
    <mergeCell ref="T71:T72"/>
    <mergeCell ref="V71:V72"/>
    <mergeCell ref="I71:I72"/>
    <mergeCell ref="J71:J72"/>
    <mergeCell ref="L71:L72"/>
    <mergeCell ref="M71:M72"/>
    <mergeCell ref="R71:R72"/>
    <mergeCell ref="S71:S72"/>
    <mergeCell ref="G71:G72"/>
    <mergeCell ref="H71:H72"/>
    <mergeCell ref="AD71:AD72"/>
    <mergeCell ref="AE71:AE72"/>
    <mergeCell ref="A74:AE74"/>
    <mergeCell ref="A79:AE79"/>
    <mergeCell ref="N71:N72"/>
    <mergeCell ref="O71:O72"/>
    <mergeCell ref="AA71:AA72"/>
    <mergeCell ref="AC71:AC72"/>
    <mergeCell ref="P71:P72"/>
    <mergeCell ref="Q71:Q72"/>
    <mergeCell ref="W71:W72"/>
    <mergeCell ref="X71:X72"/>
    <mergeCell ref="Y71:Y72"/>
    <mergeCell ref="Z71:Z72"/>
    <mergeCell ref="A83:AE83"/>
    <mergeCell ref="H103:H104"/>
    <mergeCell ref="I103:I104"/>
    <mergeCell ref="J103:J104"/>
    <mergeCell ref="L103:L104"/>
    <mergeCell ref="A92:AE92"/>
    <mergeCell ref="M103:M104"/>
    <mergeCell ref="N103:N104"/>
    <mergeCell ref="Z103:Z104"/>
    <mergeCell ref="AA103:AA104"/>
    <mergeCell ref="A101:AE101"/>
    <mergeCell ref="A102:AE102"/>
    <mergeCell ref="A103:A104"/>
    <mergeCell ref="B103:B104"/>
    <mergeCell ref="C103:C104"/>
    <mergeCell ref="O103:O104"/>
    <mergeCell ref="D103:D104"/>
    <mergeCell ref="E103:E104"/>
    <mergeCell ref="F103:F104"/>
    <mergeCell ref="G103:G104"/>
    <mergeCell ref="R103:R104"/>
    <mergeCell ref="S103:S104"/>
    <mergeCell ref="T103:T104"/>
    <mergeCell ref="A111:AE111"/>
    <mergeCell ref="Q103:Q104"/>
    <mergeCell ref="A115:AE115"/>
    <mergeCell ref="V103:V104"/>
    <mergeCell ref="W103:W104"/>
    <mergeCell ref="X103:X104"/>
    <mergeCell ref="Y103:Y104"/>
    <mergeCell ref="AC103:AC104"/>
    <mergeCell ref="AD103:AD104"/>
    <mergeCell ref="AE103:AE104"/>
    <mergeCell ref="A106:AE106"/>
    <mergeCell ref="P103:P104"/>
    <mergeCell ref="A124:AE124"/>
    <mergeCell ref="A133:AE133"/>
    <mergeCell ref="A134:AE134"/>
    <mergeCell ref="I135:I136"/>
    <mergeCell ref="J135:J136"/>
    <mergeCell ref="S135:S136"/>
    <mergeCell ref="A135:A136"/>
    <mergeCell ref="B135:B136"/>
    <mergeCell ref="C135:C136"/>
    <mergeCell ref="D135:D136"/>
    <mergeCell ref="L135:L136"/>
    <mergeCell ref="M135:M136"/>
    <mergeCell ref="E135:E136"/>
    <mergeCell ref="F135:F136"/>
    <mergeCell ref="G135:G136"/>
    <mergeCell ref="H135:H136"/>
    <mergeCell ref="Y135:Y136"/>
    <mergeCell ref="Z135:Z136"/>
    <mergeCell ref="N135:N136"/>
    <mergeCell ref="O135:O136"/>
    <mergeCell ref="P135:P136"/>
    <mergeCell ref="Q135:Q136"/>
    <mergeCell ref="R135:R136"/>
    <mergeCell ref="AA135:AA136"/>
    <mergeCell ref="AC135:AC136"/>
    <mergeCell ref="AD135:AD136"/>
    <mergeCell ref="AE135:AE136"/>
    <mergeCell ref="T135:T136"/>
    <mergeCell ref="V135:V136"/>
    <mergeCell ref="W135:W136"/>
    <mergeCell ref="X135:X136"/>
    <mergeCell ref="A148:AE148"/>
    <mergeCell ref="A158:AE158"/>
    <mergeCell ref="A167:AE167"/>
    <mergeCell ref="A138:AE138"/>
    <mergeCell ref="A144:AE144"/>
    <mergeCell ref="A168:AE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L169:L170"/>
    <mergeCell ref="X169:X170"/>
    <mergeCell ref="Y169:Y170"/>
    <mergeCell ref="M169:M170"/>
    <mergeCell ref="N169:N170"/>
    <mergeCell ref="O169:O170"/>
    <mergeCell ref="P169:P170"/>
    <mergeCell ref="Q169:Q170"/>
    <mergeCell ref="R169:R170"/>
    <mergeCell ref="AE169:AE170"/>
    <mergeCell ref="A172:AE172"/>
    <mergeCell ref="S169:S170"/>
    <mergeCell ref="T169:T170"/>
    <mergeCell ref="V169:V170"/>
    <mergeCell ref="W169:W170"/>
    <mergeCell ref="Z169:Z170"/>
    <mergeCell ref="AA169:AA170"/>
    <mergeCell ref="AC169:AC170"/>
    <mergeCell ref="AD169:AD170"/>
    <mergeCell ref="A177:AE177"/>
    <mergeCell ref="A181:AE181"/>
    <mergeCell ref="A191:AE191"/>
    <mergeCell ref="I202:I203"/>
    <mergeCell ref="J202:J203"/>
    <mergeCell ref="A200:AE200"/>
    <mergeCell ref="A201:AE201"/>
    <mergeCell ref="A202:A203"/>
    <mergeCell ref="AD202:AD203"/>
    <mergeCell ref="AE202:AE203"/>
    <mergeCell ref="AA202:AA203"/>
    <mergeCell ref="E202:E203"/>
    <mergeCell ref="F202:F203"/>
    <mergeCell ref="Q202:Q203"/>
    <mergeCell ref="R202:R203"/>
    <mergeCell ref="S202:S203"/>
    <mergeCell ref="G202:G203"/>
    <mergeCell ref="H202:H203"/>
    <mergeCell ref="L202:L203"/>
    <mergeCell ref="M202:M203"/>
    <mergeCell ref="X202:X203"/>
    <mergeCell ref="B202:B203"/>
    <mergeCell ref="C202:C203"/>
    <mergeCell ref="D202:D203"/>
    <mergeCell ref="AC202:AC203"/>
    <mergeCell ref="A214:AE214"/>
    <mergeCell ref="Y202:Y203"/>
    <mergeCell ref="Z202:Z203"/>
    <mergeCell ref="N202:N203"/>
    <mergeCell ref="O202:O203"/>
    <mergeCell ref="P202:P203"/>
    <mergeCell ref="T202:T203"/>
    <mergeCell ref="V202:V203"/>
    <mergeCell ref="W202:W203"/>
    <mergeCell ref="A205:AE205"/>
    <mergeCell ref="A210:AE210"/>
    <mergeCell ref="A233:AE233"/>
    <mergeCell ref="A234:A235"/>
    <mergeCell ref="B234:B235"/>
    <mergeCell ref="C234:C235"/>
    <mergeCell ref="D234:D235"/>
    <mergeCell ref="E234:E235"/>
    <mergeCell ref="J234:J235"/>
    <mergeCell ref="L234:L235"/>
    <mergeCell ref="A224:AE224"/>
    <mergeCell ref="A232:AE232"/>
    <mergeCell ref="F234:F235"/>
    <mergeCell ref="G234:G235"/>
    <mergeCell ref="H234:H235"/>
    <mergeCell ref="I234:I235"/>
    <mergeCell ref="X234:X235"/>
    <mergeCell ref="Y234:Y235"/>
    <mergeCell ref="M234:M235"/>
    <mergeCell ref="N234:N235"/>
    <mergeCell ref="O234:O235"/>
    <mergeCell ref="P234:P235"/>
    <mergeCell ref="Q234:Q235"/>
    <mergeCell ref="R234:R235"/>
    <mergeCell ref="AE234:AE235"/>
    <mergeCell ref="A237:AE237"/>
    <mergeCell ref="S234:S235"/>
    <mergeCell ref="T234:T235"/>
    <mergeCell ref="V234:V235"/>
    <mergeCell ref="W234:W235"/>
    <mergeCell ref="Z234:Z235"/>
    <mergeCell ref="AA234:AA235"/>
    <mergeCell ref="AC234:AC235"/>
    <mergeCell ref="AD234:AD235"/>
    <mergeCell ref="A243:AE243"/>
    <mergeCell ref="A247:AE247"/>
    <mergeCell ref="A255:AD255"/>
    <mergeCell ref="I267:I268"/>
    <mergeCell ref="J267:J268"/>
    <mergeCell ref="A265:AE265"/>
    <mergeCell ref="A266:AE266"/>
    <mergeCell ref="A267:A268"/>
    <mergeCell ref="AD267:AD268"/>
    <mergeCell ref="AE267:AE268"/>
    <mergeCell ref="AA267:AA268"/>
    <mergeCell ref="E267:E268"/>
    <mergeCell ref="F267:F268"/>
    <mergeCell ref="Q267:Q268"/>
    <mergeCell ref="R267:R268"/>
    <mergeCell ref="S267:S268"/>
    <mergeCell ref="G267:G268"/>
    <mergeCell ref="H267:H268"/>
    <mergeCell ref="L267:L268"/>
    <mergeCell ref="M267:M268"/>
    <mergeCell ref="X267:X268"/>
    <mergeCell ref="B267:B268"/>
    <mergeCell ref="C267:C268"/>
    <mergeCell ref="D267:D268"/>
    <mergeCell ref="AC267:AC268"/>
    <mergeCell ref="A279:AE279"/>
    <mergeCell ref="Y267:Y268"/>
    <mergeCell ref="Z267:Z268"/>
    <mergeCell ref="N267:N268"/>
    <mergeCell ref="O267:O268"/>
    <mergeCell ref="P267:P268"/>
    <mergeCell ref="T267:T268"/>
    <mergeCell ref="V267:V268"/>
    <mergeCell ref="W267:W268"/>
    <mergeCell ref="A270:AE270"/>
    <mergeCell ref="A275:AE275"/>
    <mergeCell ref="A296:AE296"/>
    <mergeCell ref="A297:A298"/>
    <mergeCell ref="B297:B298"/>
    <mergeCell ref="C297:C298"/>
    <mergeCell ref="D297:D298"/>
    <mergeCell ref="E297:E298"/>
    <mergeCell ref="J297:J298"/>
    <mergeCell ref="L297:L298"/>
    <mergeCell ref="A287:AE287"/>
    <mergeCell ref="A295:AE295"/>
    <mergeCell ref="F297:F298"/>
    <mergeCell ref="G297:G298"/>
    <mergeCell ref="H297:H298"/>
    <mergeCell ref="I297:I298"/>
    <mergeCell ref="X297:X298"/>
    <mergeCell ref="Y297:Y298"/>
    <mergeCell ref="M297:M298"/>
    <mergeCell ref="N297:N298"/>
    <mergeCell ref="O297:O298"/>
    <mergeCell ref="P297:P298"/>
    <mergeCell ref="Q297:Q298"/>
    <mergeCell ref="R297:R298"/>
    <mergeCell ref="AE297:AE298"/>
    <mergeCell ref="A300:AE300"/>
    <mergeCell ref="S297:S298"/>
    <mergeCell ref="T297:T298"/>
    <mergeCell ref="V297:V298"/>
    <mergeCell ref="W297:W298"/>
    <mergeCell ref="Z297:Z298"/>
    <mergeCell ref="AA297:AA298"/>
    <mergeCell ref="AC297:AC298"/>
    <mergeCell ref="AD297:AD298"/>
    <mergeCell ref="A305:AE305"/>
    <mergeCell ref="A309:AE309"/>
    <mergeCell ref="A318:AE318"/>
    <mergeCell ref="AA327:AA328"/>
    <mergeCell ref="I327:I328"/>
    <mergeCell ref="AC327:AC328"/>
    <mergeCell ref="A327:B328"/>
    <mergeCell ref="C327:C328"/>
    <mergeCell ref="D327:D328"/>
    <mergeCell ref="E327:E328"/>
    <mergeCell ref="L327:L328"/>
    <mergeCell ref="J327:J328"/>
    <mergeCell ref="F327:F328"/>
    <mergeCell ref="G327:G328"/>
    <mergeCell ref="H327:H328"/>
    <mergeCell ref="A332:B332"/>
    <mergeCell ref="A334:B334"/>
    <mergeCell ref="A330:B330"/>
    <mergeCell ref="A331:B331"/>
    <mergeCell ref="A333:B333"/>
    <mergeCell ref="Y327:Y328"/>
    <mergeCell ref="M327:M328"/>
    <mergeCell ref="N327:N328"/>
    <mergeCell ref="Q327:Q328"/>
    <mergeCell ref="R327:R328"/>
    <mergeCell ref="X327:X328"/>
    <mergeCell ref="AD327:AD328"/>
    <mergeCell ref="AE327:AE328"/>
    <mergeCell ref="A329:B329"/>
    <mergeCell ref="V327:V328"/>
    <mergeCell ref="W327:W328"/>
    <mergeCell ref="S327:S328"/>
    <mergeCell ref="T327:T328"/>
    <mergeCell ref="O327:O328"/>
    <mergeCell ref="P327:P328"/>
    <mergeCell ref="Z327:Z3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4" r:id="rId1"/>
  <rowBreaks count="10" manualBreakCount="10">
    <brk id="37" max="30" man="1"/>
    <brk id="68" max="30" man="1"/>
    <brk id="100" max="30" man="1"/>
    <brk id="132" max="30" man="1"/>
    <brk id="166" max="30" man="1"/>
    <brk id="199" max="30" man="1"/>
    <brk id="231" max="30" man="1"/>
    <brk id="264" max="30" man="1"/>
    <brk id="294" max="255" man="1"/>
    <brk id="32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view="pageBreakPreview" zoomScale="25" zoomScaleNormal="40" zoomScaleSheetLayoutView="25" zoomScalePageLayoutView="0" workbookViewId="0" topLeftCell="A1">
      <selection activeCell="K116" sqref="K116"/>
    </sheetView>
  </sheetViews>
  <sheetFormatPr defaultColWidth="9.140625" defaultRowHeight="12.75"/>
  <cols>
    <col min="1" max="1" width="18.00390625" style="148" customWidth="1"/>
    <col min="2" max="2" width="91.8515625" style="100" customWidth="1"/>
    <col min="3" max="3" width="39.00390625" style="101" customWidth="1"/>
    <col min="4" max="4" width="31.140625" style="100" customWidth="1"/>
    <col min="5" max="5" width="34.421875" style="100" customWidth="1"/>
    <col min="6" max="6" width="33.57421875" style="100" customWidth="1"/>
    <col min="7" max="7" width="72.8515625" style="100" customWidth="1"/>
    <col min="8" max="8" width="36.7109375" style="100" customWidth="1"/>
    <col min="9" max="9" width="32.8515625" style="100" customWidth="1"/>
    <col min="10" max="10" width="29.00390625" style="100" customWidth="1"/>
    <col min="11" max="11" width="43.421875" style="100" customWidth="1"/>
    <col min="12" max="12" width="52.8515625" style="100" customWidth="1"/>
    <col min="13" max="13" width="13.7109375" style="100" bestFit="1" customWidth="1"/>
    <col min="14" max="14" width="54.28125" style="100" customWidth="1"/>
    <col min="15" max="15" width="10.8515625" style="100" bestFit="1" customWidth="1"/>
    <col min="16" max="16384" width="9.140625" style="100" customWidth="1"/>
  </cols>
  <sheetData>
    <row r="1" ht="45.75">
      <c r="A1" s="99"/>
    </row>
    <row r="2" spans="1:12" ht="45.75">
      <c r="A2" s="174" t="s">
        <v>97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45.75">
      <c r="A3" s="151" t="s">
        <v>98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45.75">
      <c r="A4" s="175" t="s">
        <v>260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46.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46.5" thickBot="1">
      <c r="A6" s="177" t="s">
        <v>39</v>
      </c>
      <c r="B6" s="152" t="s">
        <v>100</v>
      </c>
      <c r="C6" s="104" t="s">
        <v>27</v>
      </c>
      <c r="D6" s="179" t="s">
        <v>28</v>
      </c>
      <c r="E6" s="180"/>
      <c r="F6" s="181"/>
      <c r="G6" s="152" t="s">
        <v>101</v>
      </c>
      <c r="H6" s="179" t="s">
        <v>29</v>
      </c>
      <c r="I6" s="180"/>
      <c r="J6" s="181"/>
      <c r="K6" s="179" t="s">
        <v>30</v>
      </c>
      <c r="L6" s="181"/>
    </row>
    <row r="7" spans="1:12" ht="53.25" thickBot="1">
      <c r="A7" s="178"/>
      <c r="B7" s="103"/>
      <c r="C7" s="105"/>
      <c r="D7" s="111" t="s">
        <v>1</v>
      </c>
      <c r="E7" s="112" t="s">
        <v>2</v>
      </c>
      <c r="F7" s="112" t="s">
        <v>3</v>
      </c>
      <c r="G7" s="103"/>
      <c r="H7" s="113" t="s">
        <v>251</v>
      </c>
      <c r="I7" s="114" t="s">
        <v>252</v>
      </c>
      <c r="J7" s="112" t="s">
        <v>6</v>
      </c>
      <c r="K7" s="112" t="s">
        <v>31</v>
      </c>
      <c r="L7" s="112" t="s">
        <v>5</v>
      </c>
    </row>
    <row r="8" spans="1:12" s="120" customFormat="1" ht="46.5" thickBot="1">
      <c r="A8" s="115">
        <v>1</v>
      </c>
      <c r="B8" s="116">
        <v>2</v>
      </c>
      <c r="C8" s="117">
        <v>3</v>
      </c>
      <c r="D8" s="118">
        <v>4</v>
      </c>
      <c r="E8" s="116">
        <v>5</v>
      </c>
      <c r="F8" s="116">
        <v>6</v>
      </c>
      <c r="G8" s="116">
        <v>7</v>
      </c>
      <c r="H8" s="119">
        <v>8</v>
      </c>
      <c r="I8" s="116">
        <v>9</v>
      </c>
      <c r="J8" s="116">
        <v>10</v>
      </c>
      <c r="K8" s="119">
        <v>11</v>
      </c>
      <c r="L8" s="116">
        <v>12</v>
      </c>
    </row>
    <row r="9" spans="1:12" ht="46.5" thickBot="1">
      <c r="A9" s="179" t="s">
        <v>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1:12" ht="46.5" thickBot="1">
      <c r="A10" s="61">
        <v>63</v>
      </c>
      <c r="B10" s="62" t="s">
        <v>198</v>
      </c>
      <c r="C10" s="64" t="s">
        <v>201</v>
      </c>
      <c r="D10" s="58">
        <v>2.55</v>
      </c>
      <c r="E10" s="58">
        <v>2.3</v>
      </c>
      <c r="F10" s="58">
        <v>0.15</v>
      </c>
      <c r="G10" s="58">
        <v>31.5</v>
      </c>
      <c r="H10" s="58">
        <v>0.02</v>
      </c>
      <c r="I10" s="58">
        <v>0.09</v>
      </c>
      <c r="J10" s="58">
        <v>0</v>
      </c>
      <c r="K10" s="58">
        <v>11</v>
      </c>
      <c r="L10" s="58">
        <v>0.5</v>
      </c>
    </row>
    <row r="11" spans="1:12" ht="92.25" thickBot="1">
      <c r="A11" s="61">
        <v>26</v>
      </c>
      <c r="B11" s="62" t="s">
        <v>66</v>
      </c>
      <c r="C11" s="64" t="s">
        <v>164</v>
      </c>
      <c r="D11" s="58">
        <v>5.13</v>
      </c>
      <c r="E11" s="58">
        <v>6.62</v>
      </c>
      <c r="F11" s="58">
        <v>0.54</v>
      </c>
      <c r="G11" s="58">
        <v>90.19</v>
      </c>
      <c r="H11" s="58">
        <v>0.02</v>
      </c>
      <c r="I11" s="58">
        <v>0.04</v>
      </c>
      <c r="J11" s="58">
        <v>0</v>
      </c>
      <c r="K11" s="58">
        <v>11.7</v>
      </c>
      <c r="L11" s="58">
        <v>0.71</v>
      </c>
    </row>
    <row r="12" spans="1:12" ht="46.5" thickBot="1">
      <c r="A12" s="121">
        <v>13</v>
      </c>
      <c r="B12" s="54" t="s">
        <v>9</v>
      </c>
      <c r="C12" s="63" t="s">
        <v>173</v>
      </c>
      <c r="D12" s="58">
        <v>0</v>
      </c>
      <c r="E12" s="58">
        <v>0</v>
      </c>
      <c r="F12" s="58">
        <v>8.98</v>
      </c>
      <c r="G12" s="58">
        <v>30</v>
      </c>
      <c r="H12" s="58">
        <v>0</v>
      </c>
      <c r="I12" s="58">
        <v>0</v>
      </c>
      <c r="J12" s="58">
        <v>0</v>
      </c>
      <c r="K12" s="58">
        <v>0.27</v>
      </c>
      <c r="L12" s="58">
        <v>0.05</v>
      </c>
    </row>
    <row r="13" spans="1:12" ht="92.25" thickBot="1">
      <c r="A13" s="61">
        <v>3</v>
      </c>
      <c r="B13" s="62" t="s">
        <v>58</v>
      </c>
      <c r="C13" s="64" t="s">
        <v>231</v>
      </c>
      <c r="D13" s="58">
        <v>3.61</v>
      </c>
      <c r="E13" s="58">
        <v>5.4</v>
      </c>
      <c r="F13" s="58">
        <v>9.75</v>
      </c>
      <c r="G13" s="58">
        <v>106</v>
      </c>
      <c r="H13" s="58">
        <v>0.02</v>
      </c>
      <c r="I13" s="58">
        <v>0.01</v>
      </c>
      <c r="J13" s="58">
        <v>0.14</v>
      </c>
      <c r="K13" s="58">
        <v>94.48</v>
      </c>
      <c r="L13" s="58">
        <v>0.33</v>
      </c>
    </row>
    <row r="14" spans="1:12" ht="138" thickBot="1">
      <c r="A14" s="61" t="s">
        <v>45</v>
      </c>
      <c r="B14" s="62" t="s">
        <v>133</v>
      </c>
      <c r="C14" s="63" t="s">
        <v>93</v>
      </c>
      <c r="D14" s="58">
        <v>0.4</v>
      </c>
      <c r="E14" s="58">
        <v>2.63</v>
      </c>
      <c r="F14" s="58">
        <v>5.93</v>
      </c>
      <c r="G14" s="58">
        <v>49</v>
      </c>
      <c r="H14" s="58">
        <v>0.01</v>
      </c>
      <c r="I14" s="58">
        <v>0.01</v>
      </c>
      <c r="J14" s="58">
        <v>0</v>
      </c>
      <c r="K14" s="58">
        <v>2.67</v>
      </c>
      <c r="L14" s="58">
        <v>0.03</v>
      </c>
    </row>
    <row r="15" spans="1:12" ht="46.5" thickBot="1">
      <c r="A15" s="61"/>
      <c r="B15" s="62" t="s">
        <v>8</v>
      </c>
      <c r="C15" s="64"/>
      <c r="D15" s="58">
        <f>SUM(D10:D14)</f>
        <v>11.69</v>
      </c>
      <c r="E15" s="58">
        <f aca="true" t="shared" si="0" ref="E15:L15">SUM(E10:E14)</f>
        <v>16.95</v>
      </c>
      <c r="F15" s="58">
        <f t="shared" si="0"/>
        <v>25.35</v>
      </c>
      <c r="G15" s="58">
        <f t="shared" si="0"/>
        <v>306.69</v>
      </c>
      <c r="H15" s="58">
        <f t="shared" si="0"/>
        <v>0.06999999999999999</v>
      </c>
      <c r="I15" s="58">
        <f t="shared" si="0"/>
        <v>0.15000000000000002</v>
      </c>
      <c r="J15" s="58">
        <f t="shared" si="0"/>
        <v>0.14</v>
      </c>
      <c r="K15" s="58">
        <f t="shared" si="0"/>
        <v>120.12</v>
      </c>
      <c r="L15" s="58">
        <f t="shared" si="0"/>
        <v>1.62</v>
      </c>
    </row>
    <row r="16" spans="1:12" ht="46.5" thickBot="1">
      <c r="A16" s="179" t="s">
        <v>107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1"/>
    </row>
    <row r="17" spans="1:12" ht="46.5" thickBot="1">
      <c r="A17" s="61" t="s">
        <v>45</v>
      </c>
      <c r="B17" s="62" t="s">
        <v>108</v>
      </c>
      <c r="C17" s="63" t="s">
        <v>238</v>
      </c>
      <c r="D17" s="58">
        <v>0.18</v>
      </c>
      <c r="E17" s="58">
        <v>0.09</v>
      </c>
      <c r="F17" s="58">
        <v>9.09</v>
      </c>
      <c r="G17" s="58">
        <v>41.4</v>
      </c>
      <c r="H17" s="58">
        <v>0.01</v>
      </c>
      <c r="I17" s="58">
        <v>0.01</v>
      </c>
      <c r="J17" s="58">
        <v>1.8</v>
      </c>
      <c r="K17" s="58">
        <v>6.3</v>
      </c>
      <c r="L17" s="58">
        <v>0.18</v>
      </c>
    </row>
    <row r="18" spans="1:12" ht="54" thickBot="1">
      <c r="A18" s="61" t="s">
        <v>45</v>
      </c>
      <c r="B18" s="62" t="s">
        <v>253</v>
      </c>
      <c r="C18" s="64" t="s">
        <v>33</v>
      </c>
      <c r="D18" s="58">
        <v>0.35</v>
      </c>
      <c r="E18" s="58">
        <v>0.35</v>
      </c>
      <c r="F18" s="58">
        <v>8.63</v>
      </c>
      <c r="G18" s="58">
        <v>41.35</v>
      </c>
      <c r="H18" s="58">
        <v>0.04</v>
      </c>
      <c r="I18" s="58">
        <v>0.03</v>
      </c>
      <c r="J18" s="58">
        <v>8.8</v>
      </c>
      <c r="K18" s="58">
        <v>14.09</v>
      </c>
      <c r="L18" s="58">
        <v>1.94</v>
      </c>
    </row>
    <row r="19" spans="1:12" ht="46.5" thickBot="1">
      <c r="A19" s="61"/>
      <c r="B19" s="62" t="s">
        <v>8</v>
      </c>
      <c r="C19" s="64"/>
      <c r="D19" s="58">
        <f aca="true" t="shared" si="1" ref="D19:L19">SUM(D17:D18)</f>
        <v>0.53</v>
      </c>
      <c r="E19" s="58">
        <f t="shared" si="1"/>
        <v>0.43999999999999995</v>
      </c>
      <c r="F19" s="58">
        <f t="shared" si="1"/>
        <v>17.72</v>
      </c>
      <c r="G19" s="58">
        <f t="shared" si="1"/>
        <v>82.75</v>
      </c>
      <c r="H19" s="58">
        <f t="shared" si="1"/>
        <v>0.05</v>
      </c>
      <c r="I19" s="58">
        <f t="shared" si="1"/>
        <v>0.04</v>
      </c>
      <c r="J19" s="58">
        <f t="shared" si="1"/>
        <v>10.600000000000001</v>
      </c>
      <c r="K19" s="58">
        <f t="shared" si="1"/>
        <v>20.39</v>
      </c>
      <c r="L19" s="58">
        <f t="shared" si="1"/>
        <v>2.12</v>
      </c>
    </row>
    <row r="20" spans="1:12" ht="46.5" thickBot="1">
      <c r="A20" s="179" t="s">
        <v>10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1"/>
    </row>
    <row r="21" spans="1:12" ht="92.25" thickBot="1">
      <c r="A21" s="121">
        <v>82</v>
      </c>
      <c r="B21" s="62" t="s">
        <v>192</v>
      </c>
      <c r="C21" s="55">
        <v>45</v>
      </c>
      <c r="D21" s="58">
        <v>0.52</v>
      </c>
      <c r="E21" s="58">
        <v>3.79</v>
      </c>
      <c r="F21" s="58">
        <v>2.37</v>
      </c>
      <c r="G21" s="58">
        <v>42</v>
      </c>
      <c r="H21" s="122">
        <v>0.02</v>
      </c>
      <c r="I21" s="123">
        <v>0.02</v>
      </c>
      <c r="J21" s="58">
        <v>1.59</v>
      </c>
      <c r="K21" s="58">
        <v>19.4</v>
      </c>
      <c r="L21" s="58">
        <v>0.23</v>
      </c>
    </row>
    <row r="22" spans="1:12" ht="92.25" thickBot="1">
      <c r="A22" s="61">
        <v>57</v>
      </c>
      <c r="B22" s="62" t="s">
        <v>159</v>
      </c>
      <c r="C22" s="63" t="s">
        <v>163</v>
      </c>
      <c r="D22" s="58">
        <v>4.12</v>
      </c>
      <c r="E22" s="58">
        <v>5.63</v>
      </c>
      <c r="F22" s="58">
        <v>15.13</v>
      </c>
      <c r="G22" s="58">
        <v>139.6</v>
      </c>
      <c r="H22" s="58">
        <v>0.12</v>
      </c>
      <c r="I22" s="58">
        <v>0.16</v>
      </c>
      <c r="J22" s="58">
        <v>4.24</v>
      </c>
      <c r="K22" s="58">
        <v>23.54</v>
      </c>
      <c r="L22" s="58">
        <v>1.09</v>
      </c>
    </row>
    <row r="23" spans="1:12" ht="46.5" thickBot="1">
      <c r="A23" s="61">
        <v>48</v>
      </c>
      <c r="B23" s="62" t="s">
        <v>196</v>
      </c>
      <c r="C23" s="64" t="s">
        <v>200</v>
      </c>
      <c r="D23" s="58">
        <v>6.89</v>
      </c>
      <c r="E23" s="58">
        <v>8.85</v>
      </c>
      <c r="F23" s="58">
        <v>2.4</v>
      </c>
      <c r="G23" s="58">
        <v>98.43</v>
      </c>
      <c r="H23" s="58">
        <v>0.04</v>
      </c>
      <c r="I23" s="58">
        <v>0.03</v>
      </c>
      <c r="J23" s="58">
        <v>1.39</v>
      </c>
      <c r="K23" s="58">
        <v>9.67</v>
      </c>
      <c r="L23" s="58">
        <v>0.77</v>
      </c>
    </row>
    <row r="24" spans="1:12" ht="92.25" thickBot="1">
      <c r="A24" s="61" t="s">
        <v>225</v>
      </c>
      <c r="B24" s="62" t="s">
        <v>226</v>
      </c>
      <c r="C24" s="64" t="s">
        <v>33</v>
      </c>
      <c r="D24" s="58">
        <v>4.2</v>
      </c>
      <c r="E24" s="58">
        <v>2.3</v>
      </c>
      <c r="F24" s="58">
        <v>12.5</v>
      </c>
      <c r="G24" s="58">
        <v>113</v>
      </c>
      <c r="H24" s="58">
        <v>0.1</v>
      </c>
      <c r="I24" s="58">
        <v>0.13</v>
      </c>
      <c r="J24" s="58">
        <v>0</v>
      </c>
      <c r="K24" s="58">
        <v>43.08</v>
      </c>
      <c r="L24" s="58">
        <v>0.7</v>
      </c>
    </row>
    <row r="25" spans="1:12" ht="46.5" thickBot="1">
      <c r="A25" s="61">
        <v>9</v>
      </c>
      <c r="B25" s="62" t="s">
        <v>74</v>
      </c>
      <c r="C25" s="55">
        <v>180</v>
      </c>
      <c r="D25" s="58">
        <v>0.43</v>
      </c>
      <c r="E25" s="58">
        <v>0</v>
      </c>
      <c r="F25" s="58">
        <v>21.42</v>
      </c>
      <c r="G25" s="58">
        <v>81</v>
      </c>
      <c r="H25" s="58">
        <v>0</v>
      </c>
      <c r="I25" s="58">
        <v>0</v>
      </c>
      <c r="J25" s="58">
        <v>0.36</v>
      </c>
      <c r="K25" s="58">
        <v>44.23</v>
      </c>
      <c r="L25" s="58">
        <v>0.009</v>
      </c>
    </row>
    <row r="26" spans="1:12" ht="92.25" thickBot="1">
      <c r="A26" s="61" t="s">
        <v>45</v>
      </c>
      <c r="B26" s="62" t="s">
        <v>114</v>
      </c>
      <c r="C26" s="55">
        <v>25</v>
      </c>
      <c r="D26" s="58">
        <v>2</v>
      </c>
      <c r="E26" s="58">
        <v>0.25</v>
      </c>
      <c r="F26" s="58">
        <v>12.05</v>
      </c>
      <c r="G26" s="58">
        <v>59</v>
      </c>
      <c r="H26" s="58">
        <v>0.04</v>
      </c>
      <c r="I26" s="58">
        <v>0.02</v>
      </c>
      <c r="J26" s="58">
        <v>0</v>
      </c>
      <c r="K26" s="58">
        <v>6</v>
      </c>
      <c r="L26" s="58">
        <v>0.5</v>
      </c>
    </row>
    <row r="27" spans="1:12" ht="92.25" thickBot="1">
      <c r="A27" s="61" t="s">
        <v>45</v>
      </c>
      <c r="B27" s="62" t="s">
        <v>144</v>
      </c>
      <c r="C27" s="55">
        <v>40</v>
      </c>
      <c r="D27" s="58">
        <v>2.24</v>
      </c>
      <c r="E27" s="58">
        <v>0.48</v>
      </c>
      <c r="F27" s="58">
        <v>19.76</v>
      </c>
      <c r="G27" s="58">
        <v>92.8</v>
      </c>
      <c r="H27" s="58">
        <v>0.05</v>
      </c>
      <c r="I27" s="58">
        <v>0.02</v>
      </c>
      <c r="J27" s="58">
        <v>0</v>
      </c>
      <c r="K27" s="58">
        <v>9.6</v>
      </c>
      <c r="L27" s="58">
        <v>1.28</v>
      </c>
    </row>
    <row r="28" spans="1:12" ht="46.5" thickBot="1">
      <c r="A28" s="121"/>
      <c r="B28" s="124" t="s">
        <v>37</v>
      </c>
      <c r="C28" s="55"/>
      <c r="D28" s="58">
        <f>SUM(D21:D27)</f>
        <v>20.4</v>
      </c>
      <c r="E28" s="58">
        <f aca="true" t="shared" si="2" ref="E28:L28">SUM(E21:E27)</f>
        <v>21.3</v>
      </c>
      <c r="F28" s="58">
        <f t="shared" si="2"/>
        <v>85.63000000000001</v>
      </c>
      <c r="G28" s="58">
        <f t="shared" si="2"/>
        <v>625.8299999999999</v>
      </c>
      <c r="H28" s="58">
        <f t="shared" si="2"/>
        <v>0.37</v>
      </c>
      <c r="I28" s="58">
        <f t="shared" si="2"/>
        <v>0.38</v>
      </c>
      <c r="J28" s="58">
        <f t="shared" si="2"/>
        <v>7.58</v>
      </c>
      <c r="K28" s="58">
        <f t="shared" si="2"/>
        <v>155.51999999999998</v>
      </c>
      <c r="L28" s="58">
        <f t="shared" si="2"/>
        <v>4.579</v>
      </c>
    </row>
    <row r="29" spans="1:12" ht="46.5" thickBot="1">
      <c r="A29" s="182" t="s">
        <v>207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50"/>
    </row>
    <row r="30" spans="1:12" ht="92.25" thickBot="1">
      <c r="A30" s="121">
        <v>69</v>
      </c>
      <c r="B30" s="62" t="s">
        <v>64</v>
      </c>
      <c r="C30" s="63" t="s">
        <v>164</v>
      </c>
      <c r="D30" s="58">
        <v>0.36</v>
      </c>
      <c r="E30" s="58">
        <v>0.05</v>
      </c>
      <c r="F30" s="58">
        <v>1.13</v>
      </c>
      <c r="G30" s="58">
        <v>6.3</v>
      </c>
      <c r="H30" s="58">
        <v>0.02</v>
      </c>
      <c r="I30" s="58">
        <v>0.02</v>
      </c>
      <c r="J30" s="58">
        <v>4.5</v>
      </c>
      <c r="K30" s="58">
        <v>10.35</v>
      </c>
      <c r="L30" s="58">
        <v>0.27</v>
      </c>
    </row>
    <row r="31" spans="1:12" ht="46.5" thickBot="1">
      <c r="A31" s="121">
        <v>91</v>
      </c>
      <c r="B31" s="62" t="s">
        <v>55</v>
      </c>
      <c r="C31" s="55">
        <v>120</v>
      </c>
      <c r="D31" s="58">
        <v>2.44</v>
      </c>
      <c r="E31" s="58">
        <v>4.19</v>
      </c>
      <c r="F31" s="58">
        <v>14.45</v>
      </c>
      <c r="G31" s="58">
        <v>113.6</v>
      </c>
      <c r="H31" s="58">
        <v>0.11</v>
      </c>
      <c r="I31" s="58">
        <v>0.08</v>
      </c>
      <c r="J31" s="58">
        <v>14.36</v>
      </c>
      <c r="K31" s="58">
        <v>36.94</v>
      </c>
      <c r="L31" s="58">
        <v>0.85</v>
      </c>
    </row>
    <row r="32" spans="1:12" ht="92.25" thickBot="1">
      <c r="A32" s="61" t="s">
        <v>45</v>
      </c>
      <c r="B32" s="62" t="s">
        <v>114</v>
      </c>
      <c r="C32" s="55">
        <v>20</v>
      </c>
      <c r="D32" s="58">
        <v>1.6</v>
      </c>
      <c r="E32" s="58">
        <v>0.2</v>
      </c>
      <c r="F32" s="58">
        <v>9.64</v>
      </c>
      <c r="G32" s="58">
        <v>47.2</v>
      </c>
      <c r="H32" s="58">
        <v>0.03</v>
      </c>
      <c r="I32" s="58">
        <v>0.01</v>
      </c>
      <c r="J32" s="58">
        <v>0</v>
      </c>
      <c r="K32" s="58">
        <v>4.8</v>
      </c>
      <c r="L32" s="58">
        <v>0.4</v>
      </c>
    </row>
    <row r="33" spans="1:12" ht="92.25" thickBot="1">
      <c r="A33" s="61">
        <v>2</v>
      </c>
      <c r="B33" s="62" t="s">
        <v>189</v>
      </c>
      <c r="C33" s="55">
        <v>150</v>
      </c>
      <c r="D33" s="56">
        <v>1.08</v>
      </c>
      <c r="E33" s="56">
        <v>1.08</v>
      </c>
      <c r="F33" s="56">
        <v>11.67</v>
      </c>
      <c r="G33" s="56">
        <v>76.67</v>
      </c>
      <c r="H33" s="56">
        <v>0.02</v>
      </c>
      <c r="I33" s="56">
        <v>0.02</v>
      </c>
      <c r="J33" s="56">
        <v>0.83</v>
      </c>
      <c r="K33" s="56">
        <v>90.2</v>
      </c>
      <c r="L33" s="56">
        <v>0.02</v>
      </c>
    </row>
    <row r="34" spans="1:12" ht="46.5" thickBot="1">
      <c r="A34" s="61">
        <v>21</v>
      </c>
      <c r="B34" s="125" t="s">
        <v>38</v>
      </c>
      <c r="C34" s="64" t="s">
        <v>239</v>
      </c>
      <c r="D34" s="56">
        <v>4.06</v>
      </c>
      <c r="E34" s="56">
        <v>4.48</v>
      </c>
      <c r="F34" s="56">
        <v>5.6</v>
      </c>
      <c r="G34" s="56">
        <v>82.6</v>
      </c>
      <c r="H34" s="56">
        <v>0.04</v>
      </c>
      <c r="I34" s="56">
        <v>0.24</v>
      </c>
      <c r="J34" s="56">
        <v>0.98</v>
      </c>
      <c r="K34" s="56">
        <v>168</v>
      </c>
      <c r="L34" s="56">
        <v>0.14</v>
      </c>
    </row>
    <row r="35" spans="1:12" ht="46.5" thickBot="1">
      <c r="A35" s="61">
        <v>99</v>
      </c>
      <c r="B35" s="62" t="s">
        <v>209</v>
      </c>
      <c r="C35" s="64" t="s">
        <v>51</v>
      </c>
      <c r="D35" s="58">
        <v>4.5</v>
      </c>
      <c r="E35" s="58">
        <v>5.1</v>
      </c>
      <c r="F35" s="58">
        <v>21.7</v>
      </c>
      <c r="G35" s="58">
        <v>127.9</v>
      </c>
      <c r="H35" s="58">
        <v>0.06</v>
      </c>
      <c r="I35" s="58">
        <v>0.05</v>
      </c>
      <c r="J35" s="58">
        <v>1.19</v>
      </c>
      <c r="K35" s="58">
        <v>18.82</v>
      </c>
      <c r="L35" s="58">
        <v>0.44</v>
      </c>
    </row>
    <row r="36" spans="1:12" ht="46.5" thickBot="1">
      <c r="A36" s="61"/>
      <c r="B36" s="62" t="s">
        <v>37</v>
      </c>
      <c r="C36" s="64"/>
      <c r="D36" s="58">
        <f aca="true" t="shared" si="3" ref="D36:L36">SUM(D30:D35)</f>
        <v>14.04</v>
      </c>
      <c r="E36" s="58">
        <f t="shared" si="3"/>
        <v>15.1</v>
      </c>
      <c r="F36" s="58">
        <f t="shared" si="3"/>
        <v>64.19</v>
      </c>
      <c r="G36" s="58">
        <f t="shared" si="3"/>
        <v>454.27</v>
      </c>
      <c r="H36" s="58">
        <f t="shared" si="3"/>
        <v>0.28</v>
      </c>
      <c r="I36" s="58">
        <f t="shared" si="3"/>
        <v>0.42</v>
      </c>
      <c r="J36" s="58">
        <f t="shared" si="3"/>
        <v>21.86</v>
      </c>
      <c r="K36" s="58">
        <f t="shared" si="3"/>
        <v>329.10999999999996</v>
      </c>
      <c r="L36" s="58">
        <f t="shared" si="3"/>
        <v>2.12</v>
      </c>
    </row>
    <row r="37" spans="1:12" ht="53.25" thickBot="1">
      <c r="A37" s="61"/>
      <c r="B37" s="62"/>
      <c r="C37" s="64"/>
      <c r="D37" s="111" t="s">
        <v>1</v>
      </c>
      <c r="E37" s="112" t="s">
        <v>2</v>
      </c>
      <c r="F37" s="112" t="s">
        <v>3</v>
      </c>
      <c r="G37" s="126" t="s">
        <v>4</v>
      </c>
      <c r="H37" s="113" t="s">
        <v>251</v>
      </c>
      <c r="I37" s="113" t="s">
        <v>252</v>
      </c>
      <c r="J37" s="112" t="s">
        <v>6</v>
      </c>
      <c r="K37" s="112" t="s">
        <v>31</v>
      </c>
      <c r="L37" s="112" t="s">
        <v>5</v>
      </c>
    </row>
    <row r="38" spans="1:12" ht="46.5" thickBot="1">
      <c r="A38" s="61"/>
      <c r="B38" s="127" t="s">
        <v>12</v>
      </c>
      <c r="C38" s="64"/>
      <c r="D38" s="58">
        <f aca="true" t="shared" si="4" ref="D38:L38">SUM(D15+D19+D28+D36)</f>
        <v>46.66</v>
      </c>
      <c r="E38" s="58">
        <f t="shared" si="4"/>
        <v>53.79</v>
      </c>
      <c r="F38" s="58">
        <f t="shared" si="4"/>
        <v>192.89000000000001</v>
      </c>
      <c r="G38" s="58">
        <f t="shared" si="4"/>
        <v>1469.54</v>
      </c>
      <c r="H38" s="58">
        <f t="shared" si="4"/>
        <v>0.77</v>
      </c>
      <c r="I38" s="58">
        <f t="shared" si="4"/>
        <v>0.99</v>
      </c>
      <c r="J38" s="58">
        <f t="shared" si="4"/>
        <v>40.18</v>
      </c>
      <c r="K38" s="58">
        <f t="shared" si="4"/>
        <v>625.1399999999999</v>
      </c>
      <c r="L38" s="58">
        <f t="shared" si="4"/>
        <v>10.439</v>
      </c>
    </row>
    <row r="39" spans="1:12" ht="46.5" thickBot="1">
      <c r="A39" s="61"/>
      <c r="B39" s="127" t="s">
        <v>13</v>
      </c>
      <c r="C39" s="64"/>
      <c r="D39" s="58">
        <v>39.9</v>
      </c>
      <c r="E39" s="58">
        <v>44.65</v>
      </c>
      <c r="F39" s="58">
        <v>192.85</v>
      </c>
      <c r="G39" s="58">
        <v>1330</v>
      </c>
      <c r="H39" s="58">
        <v>0.76</v>
      </c>
      <c r="I39" s="58">
        <v>0.86</v>
      </c>
      <c r="J39" s="58">
        <v>42.75</v>
      </c>
      <c r="K39" s="58">
        <v>760</v>
      </c>
      <c r="L39" s="58">
        <v>9.5</v>
      </c>
    </row>
    <row r="40" spans="1:12" ht="91.5" thickBot="1">
      <c r="A40" s="115"/>
      <c r="B40" s="128" t="s">
        <v>14</v>
      </c>
      <c r="C40" s="112"/>
      <c r="D40" s="129">
        <f>D38*100/D39</f>
        <v>116.94235588972431</v>
      </c>
      <c r="E40" s="129">
        <f aca="true" t="shared" si="5" ref="E40:L40">E38*100/E39</f>
        <v>120.47032474804031</v>
      </c>
      <c r="F40" s="129">
        <f t="shared" si="5"/>
        <v>100.02074150894478</v>
      </c>
      <c r="G40" s="129">
        <f t="shared" si="5"/>
        <v>110.49172932330828</v>
      </c>
      <c r="H40" s="129">
        <f t="shared" si="5"/>
        <v>101.3157894736842</v>
      </c>
      <c r="I40" s="129">
        <f t="shared" si="5"/>
        <v>115.11627906976744</v>
      </c>
      <c r="J40" s="129">
        <f t="shared" si="5"/>
        <v>93.98830409356725</v>
      </c>
      <c r="K40" s="129">
        <f t="shared" si="5"/>
        <v>82.25526315789472</v>
      </c>
      <c r="L40" s="129">
        <f t="shared" si="5"/>
        <v>109.8842105263158</v>
      </c>
    </row>
    <row r="41" spans="1:12" ht="45.75">
      <c r="A41" s="130"/>
      <c r="B41" s="102"/>
      <c r="C41" s="131"/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2" ht="45.75">
      <c r="A42" s="130"/>
      <c r="B42" s="100" t="s">
        <v>182</v>
      </c>
      <c r="C42" s="100"/>
      <c r="E42" s="132"/>
      <c r="F42" s="132"/>
      <c r="G42" s="132"/>
      <c r="H42" s="132"/>
      <c r="I42" s="132"/>
      <c r="J42" s="132"/>
      <c r="K42" s="132"/>
      <c r="L42" s="132"/>
    </row>
    <row r="43" spans="1:12" ht="53.25">
      <c r="A43" s="130"/>
      <c r="B43" s="100" t="s">
        <v>254</v>
      </c>
      <c r="L43" s="132"/>
    </row>
    <row r="44" spans="1:12" ht="45.75">
      <c r="A44" s="130"/>
      <c r="B44" s="100" t="s">
        <v>180</v>
      </c>
      <c r="L44" s="132"/>
    </row>
    <row r="45" spans="1:12" ht="45.75">
      <c r="A45" s="130"/>
      <c r="B45" s="100" t="s">
        <v>181</v>
      </c>
      <c r="L45" s="132"/>
    </row>
    <row r="46" spans="1:12" ht="45.75">
      <c r="A46" s="130"/>
      <c r="L46" s="132"/>
    </row>
    <row r="47" spans="1:12" ht="45.75">
      <c r="A47" s="174" t="s">
        <v>102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</row>
    <row r="48" spans="1:12" ht="45.75">
      <c r="A48" s="174" t="s">
        <v>98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</row>
    <row r="49" spans="1:12" ht="45.75" customHeight="1">
      <c r="A49" s="175" t="s">
        <v>260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</row>
    <row r="50" spans="1:12" ht="46.5" thickBo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</row>
    <row r="51" spans="1:12" ht="46.5" thickBot="1">
      <c r="A51" s="177" t="s">
        <v>39</v>
      </c>
      <c r="B51" s="152" t="s">
        <v>100</v>
      </c>
      <c r="C51" s="104" t="s">
        <v>27</v>
      </c>
      <c r="D51" s="179" t="s">
        <v>28</v>
      </c>
      <c r="E51" s="180"/>
      <c r="F51" s="181"/>
      <c r="G51" s="152" t="s">
        <v>101</v>
      </c>
      <c r="H51" s="179" t="s">
        <v>29</v>
      </c>
      <c r="I51" s="180"/>
      <c r="J51" s="181"/>
      <c r="K51" s="179" t="s">
        <v>30</v>
      </c>
      <c r="L51" s="181"/>
    </row>
    <row r="52" spans="1:12" ht="53.25" thickBot="1">
      <c r="A52" s="178"/>
      <c r="B52" s="103"/>
      <c r="C52" s="105"/>
      <c r="D52" s="111" t="s">
        <v>1</v>
      </c>
      <c r="E52" s="112" t="s">
        <v>2</v>
      </c>
      <c r="F52" s="112" t="s">
        <v>3</v>
      </c>
      <c r="G52" s="103"/>
      <c r="H52" s="113" t="s">
        <v>251</v>
      </c>
      <c r="I52" s="114" t="s">
        <v>252</v>
      </c>
      <c r="J52" s="112" t="s">
        <v>6</v>
      </c>
      <c r="K52" s="112" t="s">
        <v>31</v>
      </c>
      <c r="L52" s="112" t="s">
        <v>5</v>
      </c>
    </row>
    <row r="53" spans="1:12" ht="46.5" thickBot="1">
      <c r="A53" s="115">
        <v>1</v>
      </c>
      <c r="B53" s="116">
        <v>2</v>
      </c>
      <c r="C53" s="117">
        <v>3</v>
      </c>
      <c r="D53" s="118">
        <v>4</v>
      </c>
      <c r="E53" s="116">
        <v>5</v>
      </c>
      <c r="F53" s="116">
        <v>6</v>
      </c>
      <c r="G53" s="116">
        <v>7</v>
      </c>
      <c r="H53" s="119">
        <v>8</v>
      </c>
      <c r="I53" s="116">
        <v>9</v>
      </c>
      <c r="J53" s="116">
        <v>10</v>
      </c>
      <c r="K53" s="119">
        <v>11</v>
      </c>
      <c r="L53" s="116">
        <v>12</v>
      </c>
    </row>
    <row r="54" spans="1:12" ht="46.5" thickBot="1">
      <c r="A54" s="179" t="s">
        <v>7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1"/>
    </row>
    <row r="55" spans="1:12" ht="138" thickBot="1">
      <c r="A55" s="61">
        <v>84</v>
      </c>
      <c r="B55" s="133" t="s">
        <v>129</v>
      </c>
      <c r="C55" s="55">
        <v>150</v>
      </c>
      <c r="D55" s="58">
        <v>4.76</v>
      </c>
      <c r="E55" s="58">
        <v>6.38</v>
      </c>
      <c r="F55" s="58">
        <v>16.4</v>
      </c>
      <c r="G55" s="129">
        <v>140.25</v>
      </c>
      <c r="H55" s="129">
        <v>0.1</v>
      </c>
      <c r="I55" s="129">
        <v>0.03</v>
      </c>
      <c r="J55" s="129">
        <v>1.46</v>
      </c>
      <c r="K55" s="134">
        <v>141.71</v>
      </c>
      <c r="L55" s="129">
        <v>0.62</v>
      </c>
    </row>
    <row r="56" spans="1:12" ht="46.5" thickBot="1">
      <c r="A56" s="61">
        <v>15</v>
      </c>
      <c r="B56" s="62" t="s">
        <v>18</v>
      </c>
      <c r="C56" s="55">
        <v>150</v>
      </c>
      <c r="D56" s="58">
        <v>1</v>
      </c>
      <c r="E56" s="58">
        <v>1.08</v>
      </c>
      <c r="F56" s="58">
        <v>10.83</v>
      </c>
      <c r="G56" s="58">
        <v>75</v>
      </c>
      <c r="H56" s="123">
        <v>0.03</v>
      </c>
      <c r="I56" s="123">
        <v>0.03</v>
      </c>
      <c r="J56" s="123">
        <v>0.83</v>
      </c>
      <c r="K56" s="58">
        <v>91.48</v>
      </c>
      <c r="L56" s="58">
        <v>0.02</v>
      </c>
    </row>
    <row r="57" spans="1:12" ht="46.5" thickBot="1">
      <c r="A57" s="61">
        <v>16</v>
      </c>
      <c r="B57" s="62" t="s">
        <v>54</v>
      </c>
      <c r="C57" s="63" t="s">
        <v>206</v>
      </c>
      <c r="D57" s="58">
        <v>1.54</v>
      </c>
      <c r="E57" s="58">
        <v>3.46</v>
      </c>
      <c r="F57" s="58">
        <v>9.75</v>
      </c>
      <c r="G57" s="58">
        <v>78</v>
      </c>
      <c r="H57" s="58">
        <v>0.02</v>
      </c>
      <c r="I57" s="58">
        <v>0.02</v>
      </c>
      <c r="J57" s="58">
        <v>0</v>
      </c>
      <c r="K57" s="58">
        <v>4.48</v>
      </c>
      <c r="L57" s="58">
        <v>0.23</v>
      </c>
    </row>
    <row r="58" spans="1:12" ht="46.5" thickBot="1">
      <c r="A58" s="61"/>
      <c r="B58" s="62" t="s">
        <v>8</v>
      </c>
      <c r="C58" s="55"/>
      <c r="D58" s="58">
        <f aca="true" t="shared" si="6" ref="D58:L58">SUM(D55:D57)</f>
        <v>7.3</v>
      </c>
      <c r="E58" s="58">
        <f t="shared" si="6"/>
        <v>10.92</v>
      </c>
      <c r="F58" s="58">
        <f t="shared" si="6"/>
        <v>36.98</v>
      </c>
      <c r="G58" s="58">
        <f t="shared" si="6"/>
        <v>293.25</v>
      </c>
      <c r="H58" s="58">
        <f t="shared" si="6"/>
        <v>0.15</v>
      </c>
      <c r="I58" s="58">
        <f t="shared" si="6"/>
        <v>0.08</v>
      </c>
      <c r="J58" s="58">
        <f t="shared" si="6"/>
        <v>2.29</v>
      </c>
      <c r="K58" s="58">
        <f t="shared" si="6"/>
        <v>237.67</v>
      </c>
      <c r="L58" s="58">
        <f t="shared" si="6"/>
        <v>0.87</v>
      </c>
    </row>
    <row r="59" spans="1:12" ht="46.5" thickBot="1">
      <c r="A59" s="179" t="s">
        <v>107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1"/>
    </row>
    <row r="60" spans="1:12" ht="46.5" thickBot="1">
      <c r="A60" s="61" t="s">
        <v>45</v>
      </c>
      <c r="B60" s="62" t="s">
        <v>108</v>
      </c>
      <c r="C60" s="63" t="s">
        <v>238</v>
      </c>
      <c r="D60" s="58">
        <v>0.18</v>
      </c>
      <c r="E60" s="58">
        <v>0.09</v>
      </c>
      <c r="F60" s="58">
        <v>9.09</v>
      </c>
      <c r="G60" s="58">
        <v>41.4</v>
      </c>
      <c r="H60" s="58">
        <v>0.01</v>
      </c>
      <c r="I60" s="58">
        <v>0.01</v>
      </c>
      <c r="J60" s="58">
        <v>1.8</v>
      </c>
      <c r="K60" s="58">
        <v>6.3</v>
      </c>
      <c r="L60" s="58">
        <v>0.18</v>
      </c>
    </row>
    <row r="61" spans="1:12" ht="54" thickBot="1">
      <c r="A61" s="61" t="s">
        <v>45</v>
      </c>
      <c r="B61" s="62" t="s">
        <v>255</v>
      </c>
      <c r="C61" s="55">
        <v>100</v>
      </c>
      <c r="D61" s="58">
        <v>0.35</v>
      </c>
      <c r="E61" s="58">
        <v>0.28</v>
      </c>
      <c r="F61" s="58">
        <v>9.28</v>
      </c>
      <c r="G61" s="58">
        <v>42.3</v>
      </c>
      <c r="H61" s="58">
        <v>0.03</v>
      </c>
      <c r="I61" s="58">
        <v>0.04</v>
      </c>
      <c r="J61" s="58">
        <v>4.5</v>
      </c>
      <c r="K61" s="58">
        <v>17.1</v>
      </c>
      <c r="L61" s="58">
        <v>2.08</v>
      </c>
    </row>
    <row r="62" spans="1:12" ht="46.5" thickBot="1">
      <c r="A62" s="61"/>
      <c r="B62" s="62" t="s">
        <v>8</v>
      </c>
      <c r="C62" s="64"/>
      <c r="D62" s="58">
        <f>SUM(D60:D61)</f>
        <v>0.53</v>
      </c>
      <c r="E62" s="58">
        <f aca="true" t="shared" si="7" ref="E62:L62">SUM(E60:E61)</f>
        <v>0.37</v>
      </c>
      <c r="F62" s="58">
        <f t="shared" si="7"/>
        <v>18.369999999999997</v>
      </c>
      <c r="G62" s="58">
        <f t="shared" si="7"/>
        <v>83.69999999999999</v>
      </c>
      <c r="H62" s="58">
        <f t="shared" si="7"/>
        <v>0.04</v>
      </c>
      <c r="I62" s="58">
        <f t="shared" si="7"/>
        <v>0.05</v>
      </c>
      <c r="J62" s="58">
        <f t="shared" si="7"/>
        <v>6.3</v>
      </c>
      <c r="K62" s="58">
        <f t="shared" si="7"/>
        <v>23.400000000000002</v>
      </c>
      <c r="L62" s="58">
        <f t="shared" si="7"/>
        <v>2.2600000000000002</v>
      </c>
    </row>
    <row r="63" spans="1:12" ht="46.5" thickBot="1">
      <c r="A63" s="182" t="s">
        <v>40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50"/>
    </row>
    <row r="64" spans="1:12" ht="46.5" thickBot="1">
      <c r="A64" s="61">
        <v>95</v>
      </c>
      <c r="B64" s="62" t="s">
        <v>210</v>
      </c>
      <c r="C64" s="63" t="s">
        <v>164</v>
      </c>
      <c r="D64" s="58">
        <v>0.44</v>
      </c>
      <c r="E64" s="58">
        <v>3.03</v>
      </c>
      <c r="F64" s="58">
        <v>3.23</v>
      </c>
      <c r="G64" s="58">
        <v>43</v>
      </c>
      <c r="H64" s="58">
        <v>0.01</v>
      </c>
      <c r="I64" s="58">
        <v>0.01</v>
      </c>
      <c r="J64" s="58">
        <v>3</v>
      </c>
      <c r="K64" s="58">
        <v>10.07</v>
      </c>
      <c r="L64" s="58">
        <v>0.48</v>
      </c>
    </row>
    <row r="65" spans="1:12" ht="46.5" thickBot="1">
      <c r="A65" s="61">
        <v>46</v>
      </c>
      <c r="B65" s="62" t="s">
        <v>202</v>
      </c>
      <c r="C65" s="63" t="s">
        <v>172</v>
      </c>
      <c r="D65" s="58">
        <v>3.93</v>
      </c>
      <c r="E65" s="58">
        <v>4.9</v>
      </c>
      <c r="F65" s="58">
        <v>16.84</v>
      </c>
      <c r="G65" s="58">
        <v>120.88</v>
      </c>
      <c r="H65" s="58">
        <v>0.08</v>
      </c>
      <c r="I65" s="58">
        <v>0.02</v>
      </c>
      <c r="J65" s="58">
        <v>7.12</v>
      </c>
      <c r="K65" s="58">
        <v>16.84</v>
      </c>
      <c r="L65" s="58">
        <v>0.97</v>
      </c>
    </row>
    <row r="66" spans="1:12" ht="92.25" thickBot="1">
      <c r="A66" s="61">
        <v>6</v>
      </c>
      <c r="B66" s="62" t="s">
        <v>69</v>
      </c>
      <c r="C66" s="64" t="s">
        <v>147</v>
      </c>
      <c r="D66" s="58">
        <v>7.03</v>
      </c>
      <c r="E66" s="58">
        <v>5.73</v>
      </c>
      <c r="F66" s="58">
        <v>5.11</v>
      </c>
      <c r="G66" s="58">
        <v>99.38</v>
      </c>
      <c r="H66" s="58">
        <v>0.03</v>
      </c>
      <c r="I66" s="58">
        <v>0.04</v>
      </c>
      <c r="J66" s="58">
        <v>0.58</v>
      </c>
      <c r="K66" s="58">
        <v>19.31</v>
      </c>
      <c r="L66" s="58">
        <v>0.61</v>
      </c>
    </row>
    <row r="67" spans="1:12" ht="46.5" thickBot="1">
      <c r="A67" s="61">
        <v>27</v>
      </c>
      <c r="B67" s="62" t="s">
        <v>46</v>
      </c>
      <c r="C67" s="55">
        <v>120</v>
      </c>
      <c r="D67" s="58">
        <v>2.41</v>
      </c>
      <c r="E67" s="58">
        <v>4.52</v>
      </c>
      <c r="F67" s="58">
        <v>8.11</v>
      </c>
      <c r="G67" s="58">
        <v>87.6</v>
      </c>
      <c r="H67" s="58">
        <v>0.04</v>
      </c>
      <c r="I67" s="58">
        <v>0.02</v>
      </c>
      <c r="J67" s="58">
        <v>14.64</v>
      </c>
      <c r="K67" s="58">
        <v>66.46</v>
      </c>
      <c r="L67" s="58">
        <v>0.94</v>
      </c>
    </row>
    <row r="68" spans="1:12" ht="46.5" thickBot="1">
      <c r="A68" s="61">
        <v>9</v>
      </c>
      <c r="B68" s="62" t="s">
        <v>74</v>
      </c>
      <c r="C68" s="55">
        <v>180</v>
      </c>
      <c r="D68" s="58">
        <v>0.43</v>
      </c>
      <c r="E68" s="58">
        <v>0</v>
      </c>
      <c r="F68" s="58">
        <v>21.42</v>
      </c>
      <c r="G68" s="58">
        <v>81</v>
      </c>
      <c r="H68" s="58">
        <v>0</v>
      </c>
      <c r="I68" s="58">
        <v>0</v>
      </c>
      <c r="J68" s="58">
        <v>0.36</v>
      </c>
      <c r="K68" s="58">
        <v>44.23</v>
      </c>
      <c r="L68" s="58">
        <v>0.009</v>
      </c>
    </row>
    <row r="69" spans="1:12" ht="92.25" thickBot="1">
      <c r="A69" s="61" t="s">
        <v>45</v>
      </c>
      <c r="B69" s="62" t="s">
        <v>114</v>
      </c>
      <c r="C69" s="55">
        <v>25</v>
      </c>
      <c r="D69" s="58">
        <v>2</v>
      </c>
      <c r="E69" s="58">
        <v>0.25</v>
      </c>
      <c r="F69" s="58">
        <v>12.05</v>
      </c>
      <c r="G69" s="58">
        <v>59</v>
      </c>
      <c r="H69" s="58">
        <v>0.04</v>
      </c>
      <c r="I69" s="58">
        <v>0.02</v>
      </c>
      <c r="J69" s="58">
        <v>0</v>
      </c>
      <c r="K69" s="58">
        <v>6</v>
      </c>
      <c r="L69" s="58">
        <v>0.5</v>
      </c>
    </row>
    <row r="70" spans="1:12" ht="92.25" thickBot="1">
      <c r="A70" s="61" t="s">
        <v>45</v>
      </c>
      <c r="B70" s="62" t="s">
        <v>144</v>
      </c>
      <c r="C70" s="55">
        <v>40</v>
      </c>
      <c r="D70" s="58">
        <v>2.24</v>
      </c>
      <c r="E70" s="58">
        <v>0.48</v>
      </c>
      <c r="F70" s="58">
        <v>19.76</v>
      </c>
      <c r="G70" s="58">
        <v>92.8</v>
      </c>
      <c r="H70" s="58">
        <v>0.05</v>
      </c>
      <c r="I70" s="58">
        <v>0.02</v>
      </c>
      <c r="J70" s="58">
        <v>0</v>
      </c>
      <c r="K70" s="58">
        <v>9.6</v>
      </c>
      <c r="L70" s="58">
        <v>1.28</v>
      </c>
    </row>
    <row r="71" spans="1:12" ht="46.5" thickBot="1">
      <c r="A71" s="115"/>
      <c r="B71" s="62" t="s">
        <v>8</v>
      </c>
      <c r="C71" s="64"/>
      <c r="D71" s="58">
        <f aca="true" t="shared" si="8" ref="D71:L71">SUM(D64:D70)</f>
        <v>18.480000000000004</v>
      </c>
      <c r="E71" s="58">
        <f t="shared" si="8"/>
        <v>18.91</v>
      </c>
      <c r="F71" s="58">
        <f t="shared" si="8"/>
        <v>86.52000000000001</v>
      </c>
      <c r="G71" s="58">
        <f t="shared" si="8"/>
        <v>583.66</v>
      </c>
      <c r="H71" s="58">
        <f t="shared" si="8"/>
        <v>0.25</v>
      </c>
      <c r="I71" s="58">
        <f t="shared" si="8"/>
        <v>0.13</v>
      </c>
      <c r="J71" s="58">
        <f t="shared" si="8"/>
        <v>25.700000000000003</v>
      </c>
      <c r="K71" s="58">
        <f t="shared" si="8"/>
        <v>172.51</v>
      </c>
      <c r="L71" s="58">
        <f t="shared" si="8"/>
        <v>4.789</v>
      </c>
    </row>
    <row r="72" spans="1:12" ht="46.5" thickBot="1">
      <c r="A72" s="182" t="s">
        <v>207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50"/>
    </row>
    <row r="73" spans="1:12" ht="92.25" thickBot="1">
      <c r="A73" s="61">
        <v>49</v>
      </c>
      <c r="B73" s="62" t="s">
        <v>77</v>
      </c>
      <c r="C73" s="63" t="s">
        <v>167</v>
      </c>
      <c r="D73" s="58">
        <v>13.78</v>
      </c>
      <c r="E73" s="58">
        <v>18.23</v>
      </c>
      <c r="F73" s="58">
        <v>29.39</v>
      </c>
      <c r="G73" s="58">
        <v>346.64</v>
      </c>
      <c r="H73" s="58">
        <v>0.07</v>
      </c>
      <c r="I73" s="58">
        <v>0.21</v>
      </c>
      <c r="J73" s="58">
        <v>0.27</v>
      </c>
      <c r="K73" s="58">
        <v>166.02</v>
      </c>
      <c r="L73" s="58">
        <v>1.14</v>
      </c>
    </row>
    <row r="74" spans="1:12" ht="46.5" thickBot="1">
      <c r="A74" s="53">
        <v>76</v>
      </c>
      <c r="B74" s="54" t="s">
        <v>61</v>
      </c>
      <c r="C74" s="64" t="s">
        <v>173</v>
      </c>
      <c r="D74" s="56">
        <v>0.67</v>
      </c>
      <c r="E74" s="56">
        <v>0.83</v>
      </c>
      <c r="F74" s="56">
        <v>11.25</v>
      </c>
      <c r="G74" s="56">
        <v>46.67</v>
      </c>
      <c r="H74" s="56">
        <v>0.02</v>
      </c>
      <c r="I74" s="56">
        <v>0.06</v>
      </c>
      <c r="J74" s="56">
        <v>0.54</v>
      </c>
      <c r="K74" s="56">
        <v>50.29</v>
      </c>
      <c r="L74" s="56">
        <v>0.09</v>
      </c>
    </row>
    <row r="75" spans="1:12" ht="46.5" thickBot="1">
      <c r="A75" s="61">
        <v>21</v>
      </c>
      <c r="B75" s="125" t="s">
        <v>38</v>
      </c>
      <c r="C75" s="64" t="s">
        <v>239</v>
      </c>
      <c r="D75" s="56">
        <v>4.06</v>
      </c>
      <c r="E75" s="56">
        <v>4.48</v>
      </c>
      <c r="F75" s="56">
        <v>5.6</v>
      </c>
      <c r="G75" s="56">
        <v>82.6</v>
      </c>
      <c r="H75" s="56">
        <v>0.04</v>
      </c>
      <c r="I75" s="56">
        <v>0.24</v>
      </c>
      <c r="J75" s="56">
        <v>0.98</v>
      </c>
      <c r="K75" s="56">
        <v>168</v>
      </c>
      <c r="L75" s="56">
        <v>0.14</v>
      </c>
    </row>
    <row r="76" spans="1:12" ht="275.25" thickBot="1">
      <c r="A76" s="61" t="s">
        <v>45</v>
      </c>
      <c r="B76" s="62" t="s">
        <v>134</v>
      </c>
      <c r="C76" s="64" t="s">
        <v>240</v>
      </c>
      <c r="D76" s="58">
        <v>0.36</v>
      </c>
      <c r="E76" s="58">
        <v>0.48</v>
      </c>
      <c r="F76" s="58">
        <v>8.4</v>
      </c>
      <c r="G76" s="58">
        <v>34.8</v>
      </c>
      <c r="H76" s="58">
        <v>0.01</v>
      </c>
      <c r="I76" s="58">
        <v>0.01</v>
      </c>
      <c r="J76" s="58">
        <v>0</v>
      </c>
      <c r="K76" s="58">
        <v>1.44</v>
      </c>
      <c r="L76" s="58">
        <v>0.1</v>
      </c>
    </row>
    <row r="77" spans="1:12" ht="46.5" thickBot="1">
      <c r="A77" s="115"/>
      <c r="B77" s="62" t="s">
        <v>8</v>
      </c>
      <c r="C77" s="64"/>
      <c r="D77" s="58">
        <f>SUM(D73:D76)</f>
        <v>18.869999999999997</v>
      </c>
      <c r="E77" s="58">
        <f aca="true" t="shared" si="9" ref="E77:L77">SUM(E73:E76)</f>
        <v>24.02</v>
      </c>
      <c r="F77" s="58">
        <f t="shared" si="9"/>
        <v>54.64</v>
      </c>
      <c r="G77" s="58">
        <f t="shared" si="9"/>
        <v>510.71</v>
      </c>
      <c r="H77" s="58">
        <f t="shared" si="9"/>
        <v>0.14</v>
      </c>
      <c r="I77" s="58">
        <f t="shared" si="9"/>
        <v>0.52</v>
      </c>
      <c r="J77" s="58">
        <f t="shared" si="9"/>
        <v>1.79</v>
      </c>
      <c r="K77" s="58">
        <f t="shared" si="9"/>
        <v>385.75</v>
      </c>
      <c r="L77" s="58">
        <f t="shared" si="9"/>
        <v>1.4700000000000002</v>
      </c>
    </row>
    <row r="78" spans="1:12" ht="53.25" thickBot="1">
      <c r="A78" s="61"/>
      <c r="B78" s="62"/>
      <c r="C78" s="64"/>
      <c r="D78" s="111" t="s">
        <v>1</v>
      </c>
      <c r="E78" s="112" t="s">
        <v>2</v>
      </c>
      <c r="F78" s="112" t="s">
        <v>3</v>
      </c>
      <c r="G78" s="126" t="s">
        <v>4</v>
      </c>
      <c r="H78" s="113" t="s">
        <v>251</v>
      </c>
      <c r="I78" s="113" t="s">
        <v>252</v>
      </c>
      <c r="J78" s="112" t="s">
        <v>6</v>
      </c>
      <c r="K78" s="112" t="s">
        <v>31</v>
      </c>
      <c r="L78" s="112" t="s">
        <v>5</v>
      </c>
    </row>
    <row r="79" spans="1:12" ht="46.5" thickBot="1">
      <c r="A79" s="61"/>
      <c r="B79" s="127" t="s">
        <v>12</v>
      </c>
      <c r="C79" s="64"/>
      <c r="D79" s="58">
        <f aca="true" t="shared" si="10" ref="D79:L79">SUM(D58+D62+D71+D77)</f>
        <v>45.18</v>
      </c>
      <c r="E79" s="58">
        <f t="shared" si="10"/>
        <v>54.22</v>
      </c>
      <c r="F79" s="58">
        <f t="shared" si="10"/>
        <v>196.51</v>
      </c>
      <c r="G79" s="58">
        <f t="shared" si="10"/>
        <v>1471.32</v>
      </c>
      <c r="H79" s="58">
        <f t="shared" si="10"/>
        <v>0.5800000000000001</v>
      </c>
      <c r="I79" s="58">
        <f t="shared" si="10"/>
        <v>0.78</v>
      </c>
      <c r="J79" s="58">
        <f t="shared" si="10"/>
        <v>36.080000000000005</v>
      </c>
      <c r="K79" s="58">
        <f t="shared" si="10"/>
        <v>819.3299999999999</v>
      </c>
      <c r="L79" s="58">
        <f t="shared" si="10"/>
        <v>9.389000000000001</v>
      </c>
    </row>
    <row r="80" spans="1:12" ht="46.5" thickBot="1">
      <c r="A80" s="61"/>
      <c r="B80" s="127" t="s">
        <v>13</v>
      </c>
      <c r="C80" s="64"/>
      <c r="D80" s="58">
        <v>39.9</v>
      </c>
      <c r="E80" s="58">
        <v>44.65</v>
      </c>
      <c r="F80" s="58">
        <v>192.85</v>
      </c>
      <c r="G80" s="58">
        <v>1330</v>
      </c>
      <c r="H80" s="58">
        <v>0.76</v>
      </c>
      <c r="I80" s="58">
        <v>0.86</v>
      </c>
      <c r="J80" s="58">
        <v>42.75</v>
      </c>
      <c r="K80" s="58">
        <v>760</v>
      </c>
      <c r="L80" s="58">
        <v>9.5</v>
      </c>
    </row>
    <row r="81" spans="1:12" s="120" customFormat="1" ht="91.5" thickBot="1">
      <c r="A81" s="115"/>
      <c r="B81" s="128" t="s">
        <v>14</v>
      </c>
      <c r="C81" s="112"/>
      <c r="D81" s="129">
        <f>D79*100/D80</f>
        <v>113.23308270676692</v>
      </c>
      <c r="E81" s="129">
        <f aca="true" t="shared" si="11" ref="E81:L81">E79*100/E80</f>
        <v>121.4333706606943</v>
      </c>
      <c r="F81" s="129">
        <f t="shared" si="11"/>
        <v>101.89784806844698</v>
      </c>
      <c r="G81" s="129">
        <f t="shared" si="11"/>
        <v>110.62556390977444</v>
      </c>
      <c r="H81" s="129">
        <f t="shared" si="11"/>
        <v>76.31578947368422</v>
      </c>
      <c r="I81" s="129">
        <f t="shared" si="11"/>
        <v>90.69767441860465</v>
      </c>
      <c r="J81" s="129">
        <f t="shared" si="11"/>
        <v>84.39766081871346</v>
      </c>
      <c r="K81" s="129">
        <f t="shared" si="11"/>
        <v>107.80657894736842</v>
      </c>
      <c r="L81" s="129">
        <f t="shared" si="11"/>
        <v>98.83157894736843</v>
      </c>
    </row>
    <row r="82" spans="1:12" s="120" customFormat="1" ht="45.75">
      <c r="A82" s="130"/>
      <c r="B82" s="102"/>
      <c r="C82" s="131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1:12" s="120" customFormat="1" ht="45.75">
      <c r="A83" s="130"/>
      <c r="B83" s="100" t="s">
        <v>182</v>
      </c>
      <c r="C83" s="100"/>
      <c r="D83" s="100"/>
      <c r="E83" s="132"/>
      <c r="F83" s="132"/>
      <c r="G83" s="132"/>
      <c r="H83" s="132"/>
      <c r="I83" s="132"/>
      <c r="J83" s="132"/>
      <c r="K83" s="132"/>
      <c r="L83" s="132"/>
    </row>
    <row r="84" spans="1:12" s="120" customFormat="1" ht="53.25">
      <c r="A84" s="130"/>
      <c r="B84" s="100" t="s">
        <v>254</v>
      </c>
      <c r="C84" s="101"/>
      <c r="D84" s="100"/>
      <c r="E84" s="100"/>
      <c r="F84" s="100"/>
      <c r="G84" s="100"/>
      <c r="H84" s="100"/>
      <c r="I84" s="100"/>
      <c r="J84" s="100"/>
      <c r="K84" s="100"/>
      <c r="L84" s="132"/>
    </row>
    <row r="85" spans="1:12" s="120" customFormat="1" ht="45.75">
      <c r="A85" s="130"/>
      <c r="B85" s="100" t="s">
        <v>180</v>
      </c>
      <c r="C85" s="101"/>
      <c r="D85" s="100"/>
      <c r="E85" s="100"/>
      <c r="F85" s="100"/>
      <c r="G85" s="100"/>
      <c r="H85" s="100"/>
      <c r="I85" s="100"/>
      <c r="J85" s="100"/>
      <c r="K85" s="100"/>
      <c r="L85" s="132"/>
    </row>
    <row r="86" spans="1:12" s="120" customFormat="1" ht="45.75">
      <c r="A86" s="130"/>
      <c r="B86" s="100" t="s">
        <v>181</v>
      </c>
      <c r="C86" s="101"/>
      <c r="D86" s="100"/>
      <c r="E86" s="100"/>
      <c r="F86" s="100"/>
      <c r="G86" s="100"/>
      <c r="H86" s="100"/>
      <c r="I86" s="100"/>
      <c r="J86" s="100"/>
      <c r="K86" s="100"/>
      <c r="L86" s="132"/>
    </row>
    <row r="87" spans="1:12" s="120" customFormat="1" ht="45.75">
      <c r="A87" s="130"/>
      <c r="B87" s="100"/>
      <c r="C87" s="101"/>
      <c r="D87" s="100"/>
      <c r="E87" s="100"/>
      <c r="F87" s="100"/>
      <c r="G87" s="100"/>
      <c r="H87" s="100"/>
      <c r="I87" s="100"/>
      <c r="J87" s="100"/>
      <c r="K87" s="132"/>
      <c r="L87" s="132"/>
    </row>
    <row r="88" spans="1:12" s="120" customFormat="1" ht="45.75">
      <c r="A88" s="174" t="s">
        <v>103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</row>
    <row r="89" spans="1:12" s="120" customFormat="1" ht="45.75">
      <c r="A89" s="174" t="s">
        <v>98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</row>
    <row r="90" spans="1:12" ht="45.75" customHeight="1">
      <c r="A90" s="175" t="s">
        <v>260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</row>
    <row r="91" spans="1:12" ht="46.5" thickBot="1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</row>
    <row r="92" spans="1:12" ht="46.5" thickBot="1">
      <c r="A92" s="177" t="s">
        <v>39</v>
      </c>
      <c r="B92" s="152" t="s">
        <v>100</v>
      </c>
      <c r="C92" s="104" t="s">
        <v>27</v>
      </c>
      <c r="D92" s="179" t="s">
        <v>28</v>
      </c>
      <c r="E92" s="180"/>
      <c r="F92" s="181"/>
      <c r="G92" s="152" t="s">
        <v>101</v>
      </c>
      <c r="H92" s="179" t="s">
        <v>29</v>
      </c>
      <c r="I92" s="180"/>
      <c r="J92" s="181"/>
      <c r="K92" s="179" t="s">
        <v>30</v>
      </c>
      <c r="L92" s="181"/>
    </row>
    <row r="93" spans="1:12" ht="53.25" thickBot="1">
      <c r="A93" s="178"/>
      <c r="B93" s="103"/>
      <c r="C93" s="105"/>
      <c r="D93" s="111" t="s">
        <v>1</v>
      </c>
      <c r="E93" s="112" t="s">
        <v>2</v>
      </c>
      <c r="F93" s="112" t="s">
        <v>3</v>
      </c>
      <c r="G93" s="103"/>
      <c r="H93" s="113" t="s">
        <v>251</v>
      </c>
      <c r="I93" s="135" t="s">
        <v>252</v>
      </c>
      <c r="J93" s="112" t="s">
        <v>6</v>
      </c>
      <c r="K93" s="112" t="s">
        <v>31</v>
      </c>
      <c r="L93" s="112" t="s">
        <v>5</v>
      </c>
    </row>
    <row r="94" spans="1:12" ht="46.5" thickBot="1">
      <c r="A94" s="110">
        <v>1</v>
      </c>
      <c r="B94" s="116">
        <v>2</v>
      </c>
      <c r="C94" s="117">
        <v>3</v>
      </c>
      <c r="D94" s="136">
        <v>4</v>
      </c>
      <c r="E94" s="116">
        <v>5</v>
      </c>
      <c r="F94" s="116">
        <v>6</v>
      </c>
      <c r="G94" s="116">
        <v>7</v>
      </c>
      <c r="H94" s="137">
        <v>8</v>
      </c>
      <c r="I94" s="116">
        <v>9</v>
      </c>
      <c r="J94" s="116">
        <v>10</v>
      </c>
      <c r="K94" s="137">
        <v>11</v>
      </c>
      <c r="L94" s="116">
        <v>12</v>
      </c>
    </row>
    <row r="95" spans="1:12" ht="46.5" thickBot="1">
      <c r="A95" s="179" t="s">
        <v>7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1"/>
    </row>
    <row r="96" spans="1:12" ht="92.25" thickBot="1">
      <c r="A96" s="121">
        <v>23</v>
      </c>
      <c r="B96" s="124" t="s">
        <v>60</v>
      </c>
      <c r="C96" s="55">
        <v>150</v>
      </c>
      <c r="D96" s="56">
        <v>4.98</v>
      </c>
      <c r="E96" s="56">
        <v>5.69</v>
      </c>
      <c r="F96" s="56">
        <v>21.1</v>
      </c>
      <c r="G96" s="56">
        <v>153</v>
      </c>
      <c r="H96" s="56">
        <v>0.09</v>
      </c>
      <c r="I96" s="56">
        <v>0.06</v>
      </c>
      <c r="J96" s="56">
        <v>1.46</v>
      </c>
      <c r="K96" s="56">
        <v>148.85</v>
      </c>
      <c r="L96" s="56">
        <v>0.41</v>
      </c>
    </row>
    <row r="97" spans="1:12" ht="92.25" thickBot="1">
      <c r="A97" s="61">
        <v>2</v>
      </c>
      <c r="B97" s="62" t="s">
        <v>189</v>
      </c>
      <c r="C97" s="55">
        <v>150</v>
      </c>
      <c r="D97" s="56">
        <v>1.08</v>
      </c>
      <c r="E97" s="56">
        <v>1.08</v>
      </c>
      <c r="F97" s="56">
        <v>11.67</v>
      </c>
      <c r="G97" s="56">
        <v>76.67</v>
      </c>
      <c r="H97" s="56">
        <v>0.02</v>
      </c>
      <c r="I97" s="56">
        <v>0.02</v>
      </c>
      <c r="J97" s="56">
        <v>0.83</v>
      </c>
      <c r="K97" s="56">
        <v>90.2</v>
      </c>
      <c r="L97" s="56">
        <v>0.02</v>
      </c>
    </row>
    <row r="98" spans="1:12" ht="92.25" thickBot="1">
      <c r="A98" s="61">
        <v>3</v>
      </c>
      <c r="B98" s="62" t="s">
        <v>58</v>
      </c>
      <c r="C98" s="64" t="s">
        <v>231</v>
      </c>
      <c r="D98" s="58">
        <v>3.61</v>
      </c>
      <c r="E98" s="58">
        <v>5.4</v>
      </c>
      <c r="F98" s="58">
        <v>9.75</v>
      </c>
      <c r="G98" s="58">
        <v>106</v>
      </c>
      <c r="H98" s="58">
        <v>0.02</v>
      </c>
      <c r="I98" s="58">
        <v>0.01</v>
      </c>
      <c r="J98" s="58">
        <v>0.14</v>
      </c>
      <c r="K98" s="58">
        <v>94.48</v>
      </c>
      <c r="L98" s="58">
        <v>0.33</v>
      </c>
    </row>
    <row r="99" spans="1:12" ht="46.5" thickBot="1">
      <c r="A99" s="61"/>
      <c r="B99" s="62" t="s">
        <v>8</v>
      </c>
      <c r="C99" s="129"/>
      <c r="D99" s="58">
        <f aca="true" t="shared" si="12" ref="D99:L99">SUM(D96:D98)</f>
        <v>9.67</v>
      </c>
      <c r="E99" s="58">
        <f t="shared" si="12"/>
        <v>12.170000000000002</v>
      </c>
      <c r="F99" s="58">
        <f t="shared" si="12"/>
        <v>42.52</v>
      </c>
      <c r="G99" s="58">
        <f t="shared" si="12"/>
        <v>335.67</v>
      </c>
      <c r="H99" s="58">
        <f t="shared" si="12"/>
        <v>0.13</v>
      </c>
      <c r="I99" s="58">
        <f t="shared" si="12"/>
        <v>0.09</v>
      </c>
      <c r="J99" s="58">
        <f t="shared" si="12"/>
        <v>2.43</v>
      </c>
      <c r="K99" s="58">
        <f t="shared" si="12"/>
        <v>333.53000000000003</v>
      </c>
      <c r="L99" s="58">
        <f t="shared" si="12"/>
        <v>0.76</v>
      </c>
    </row>
    <row r="100" spans="1:12" ht="46.5" thickBot="1">
      <c r="A100" s="179" t="s">
        <v>107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1"/>
    </row>
    <row r="101" spans="1:12" ht="46.5" thickBot="1">
      <c r="A101" s="61" t="s">
        <v>45</v>
      </c>
      <c r="B101" s="62" t="s">
        <v>108</v>
      </c>
      <c r="C101" s="63" t="s">
        <v>238</v>
      </c>
      <c r="D101" s="58">
        <v>0.18</v>
      </c>
      <c r="E101" s="58">
        <v>0.09</v>
      </c>
      <c r="F101" s="58">
        <v>9.09</v>
      </c>
      <c r="G101" s="58">
        <v>41.4</v>
      </c>
      <c r="H101" s="58">
        <v>0.01</v>
      </c>
      <c r="I101" s="58">
        <v>0.01</v>
      </c>
      <c r="J101" s="58">
        <v>1.8</v>
      </c>
      <c r="K101" s="58">
        <v>6.3</v>
      </c>
      <c r="L101" s="58">
        <v>0.18</v>
      </c>
    </row>
    <row r="102" spans="1:12" ht="54" thickBot="1">
      <c r="A102" s="61" t="s">
        <v>45</v>
      </c>
      <c r="B102" s="62" t="s">
        <v>256</v>
      </c>
      <c r="C102" s="55">
        <v>100</v>
      </c>
      <c r="D102" s="56">
        <v>0.9</v>
      </c>
      <c r="E102" s="56">
        <v>0.3</v>
      </c>
      <c r="F102" s="56">
        <v>12.6</v>
      </c>
      <c r="G102" s="56">
        <v>57.6</v>
      </c>
      <c r="H102" s="56">
        <v>0.03</v>
      </c>
      <c r="I102" s="56">
        <v>0.04</v>
      </c>
      <c r="J102" s="56">
        <v>6</v>
      </c>
      <c r="K102" s="56">
        <v>4.8</v>
      </c>
      <c r="L102" s="56">
        <v>0.35</v>
      </c>
    </row>
    <row r="103" spans="1:12" ht="46.5" thickBot="1">
      <c r="A103" s="61"/>
      <c r="B103" s="62" t="s">
        <v>8</v>
      </c>
      <c r="C103" s="64"/>
      <c r="D103" s="58">
        <f>SUM(D101:D102)</f>
        <v>1.08</v>
      </c>
      <c r="E103" s="58">
        <f aca="true" t="shared" si="13" ref="E103:L103">SUM(E101:E102)</f>
        <v>0.39</v>
      </c>
      <c r="F103" s="58">
        <f t="shared" si="13"/>
        <v>21.689999999999998</v>
      </c>
      <c r="G103" s="58">
        <f t="shared" si="13"/>
        <v>99</v>
      </c>
      <c r="H103" s="58">
        <f t="shared" si="13"/>
        <v>0.04</v>
      </c>
      <c r="I103" s="58">
        <f t="shared" si="13"/>
        <v>0.05</v>
      </c>
      <c r="J103" s="58">
        <f t="shared" si="13"/>
        <v>7.8</v>
      </c>
      <c r="K103" s="58">
        <f t="shared" si="13"/>
        <v>11.1</v>
      </c>
      <c r="L103" s="58">
        <f t="shared" si="13"/>
        <v>0.53</v>
      </c>
    </row>
    <row r="104" spans="1:12" ht="46.5" thickBot="1">
      <c r="A104" s="182" t="s">
        <v>40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50"/>
    </row>
    <row r="105" spans="1:12" ht="138" thickBot="1">
      <c r="A105" s="61">
        <v>24</v>
      </c>
      <c r="B105" s="62" t="s">
        <v>142</v>
      </c>
      <c r="C105" s="63" t="s">
        <v>164</v>
      </c>
      <c r="D105" s="58">
        <v>1.18</v>
      </c>
      <c r="E105" s="58">
        <v>3.81</v>
      </c>
      <c r="F105" s="58">
        <v>2.93</v>
      </c>
      <c r="G105" s="58">
        <v>50.25</v>
      </c>
      <c r="H105" s="58">
        <v>0.04</v>
      </c>
      <c r="I105" s="58">
        <v>0.03</v>
      </c>
      <c r="J105" s="58">
        <v>2.4</v>
      </c>
      <c r="K105" s="58">
        <v>9.23</v>
      </c>
      <c r="L105" s="58">
        <v>0.3</v>
      </c>
    </row>
    <row r="106" spans="1:12" ht="92.25" thickBot="1">
      <c r="A106" s="61">
        <v>34</v>
      </c>
      <c r="B106" s="62" t="s">
        <v>56</v>
      </c>
      <c r="C106" s="63" t="s">
        <v>165</v>
      </c>
      <c r="D106" s="58">
        <v>2.95</v>
      </c>
      <c r="E106" s="58">
        <v>4.8</v>
      </c>
      <c r="F106" s="58">
        <v>6.87</v>
      </c>
      <c r="G106" s="58">
        <v>94.49</v>
      </c>
      <c r="H106" s="58">
        <v>0.05</v>
      </c>
      <c r="I106" s="58">
        <v>0.03</v>
      </c>
      <c r="J106" s="58">
        <v>15.54</v>
      </c>
      <c r="K106" s="58">
        <v>37.48</v>
      </c>
      <c r="L106" s="58">
        <v>0.68</v>
      </c>
    </row>
    <row r="107" spans="1:12" ht="92.25" thickBot="1">
      <c r="A107" s="121">
        <v>40</v>
      </c>
      <c r="B107" s="62" t="s">
        <v>188</v>
      </c>
      <c r="C107" s="64" t="s">
        <v>227</v>
      </c>
      <c r="D107" s="58">
        <v>10.74</v>
      </c>
      <c r="E107" s="58">
        <v>5.72</v>
      </c>
      <c r="F107" s="58">
        <v>48.58</v>
      </c>
      <c r="G107" s="58">
        <v>121.62</v>
      </c>
      <c r="H107" s="58">
        <v>0.1</v>
      </c>
      <c r="I107" s="58">
        <v>0.1</v>
      </c>
      <c r="J107" s="58">
        <v>1.96</v>
      </c>
      <c r="K107" s="58">
        <v>49.13</v>
      </c>
      <c r="L107" s="58">
        <v>0.94</v>
      </c>
    </row>
    <row r="108" spans="1:12" ht="46.5" thickBot="1">
      <c r="A108" s="121">
        <v>59</v>
      </c>
      <c r="B108" s="62" t="s">
        <v>186</v>
      </c>
      <c r="C108" s="55">
        <v>100</v>
      </c>
      <c r="D108" s="58">
        <v>2.57</v>
      </c>
      <c r="E108" s="58">
        <v>4.67</v>
      </c>
      <c r="F108" s="58">
        <v>17</v>
      </c>
      <c r="G108" s="58">
        <v>141.33</v>
      </c>
      <c r="H108" s="58">
        <v>0.03</v>
      </c>
      <c r="I108" s="58">
        <v>0.01</v>
      </c>
      <c r="J108" s="58">
        <v>3.97</v>
      </c>
      <c r="K108" s="58">
        <v>3.21</v>
      </c>
      <c r="L108" s="58">
        <v>0.57</v>
      </c>
    </row>
    <row r="109" spans="1:12" ht="46.5" thickBot="1">
      <c r="A109" s="61">
        <v>9</v>
      </c>
      <c r="B109" s="62" t="s">
        <v>74</v>
      </c>
      <c r="C109" s="55">
        <v>180</v>
      </c>
      <c r="D109" s="58">
        <v>0.43</v>
      </c>
      <c r="E109" s="58">
        <v>0</v>
      </c>
      <c r="F109" s="58">
        <v>21.42</v>
      </c>
      <c r="G109" s="58">
        <v>81</v>
      </c>
      <c r="H109" s="58">
        <v>0</v>
      </c>
      <c r="I109" s="58">
        <v>0</v>
      </c>
      <c r="J109" s="58">
        <v>0.36</v>
      </c>
      <c r="K109" s="58">
        <v>44.23</v>
      </c>
      <c r="L109" s="58">
        <v>0.009</v>
      </c>
    </row>
    <row r="110" spans="1:12" ht="92.25" thickBot="1">
      <c r="A110" s="61" t="s">
        <v>45</v>
      </c>
      <c r="B110" s="62" t="s">
        <v>114</v>
      </c>
      <c r="C110" s="55">
        <v>25</v>
      </c>
      <c r="D110" s="58">
        <v>2</v>
      </c>
      <c r="E110" s="58">
        <v>0.25</v>
      </c>
      <c r="F110" s="58">
        <v>12.05</v>
      </c>
      <c r="G110" s="58">
        <v>59</v>
      </c>
      <c r="H110" s="58">
        <v>0.04</v>
      </c>
      <c r="I110" s="58">
        <v>0.02</v>
      </c>
      <c r="J110" s="58">
        <v>0</v>
      </c>
      <c r="K110" s="58">
        <v>6</v>
      </c>
      <c r="L110" s="58">
        <v>0.5</v>
      </c>
    </row>
    <row r="111" spans="1:12" ht="92.25" thickBot="1">
      <c r="A111" s="61" t="s">
        <v>45</v>
      </c>
      <c r="B111" s="62" t="s">
        <v>144</v>
      </c>
      <c r="C111" s="55">
        <v>40</v>
      </c>
      <c r="D111" s="58">
        <v>2.24</v>
      </c>
      <c r="E111" s="58">
        <v>0.48</v>
      </c>
      <c r="F111" s="58">
        <v>19.76</v>
      </c>
      <c r="G111" s="58">
        <v>92.8</v>
      </c>
      <c r="H111" s="58">
        <v>0.05</v>
      </c>
      <c r="I111" s="58">
        <v>0.02</v>
      </c>
      <c r="J111" s="58">
        <v>0</v>
      </c>
      <c r="K111" s="58">
        <v>9.6</v>
      </c>
      <c r="L111" s="58">
        <v>1.28</v>
      </c>
    </row>
    <row r="112" spans="1:12" ht="46.5" thickBot="1">
      <c r="A112" s="61"/>
      <c r="B112" s="62" t="s">
        <v>8</v>
      </c>
      <c r="C112" s="55"/>
      <c r="D112" s="58">
        <f aca="true" t="shared" si="14" ref="D112:L112">SUM(D105:D111)</f>
        <v>22.11</v>
      </c>
      <c r="E112" s="58">
        <f t="shared" si="14"/>
        <v>19.73</v>
      </c>
      <c r="F112" s="58">
        <f t="shared" si="14"/>
        <v>128.60999999999999</v>
      </c>
      <c r="G112" s="58">
        <f t="shared" si="14"/>
        <v>640.49</v>
      </c>
      <c r="H112" s="58">
        <f t="shared" si="14"/>
        <v>0.31</v>
      </c>
      <c r="I112" s="58">
        <f t="shared" si="14"/>
        <v>0.21</v>
      </c>
      <c r="J112" s="58">
        <f t="shared" si="14"/>
        <v>24.229999999999997</v>
      </c>
      <c r="K112" s="58">
        <f t="shared" si="14"/>
        <v>158.88</v>
      </c>
      <c r="L112" s="58">
        <f t="shared" si="14"/>
        <v>4.279</v>
      </c>
    </row>
    <row r="113" spans="1:12" ht="46.5" thickBot="1">
      <c r="A113" s="182" t="s">
        <v>207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50"/>
    </row>
    <row r="114" spans="1:12" ht="46.5" thickBot="1">
      <c r="A114" s="61">
        <v>67</v>
      </c>
      <c r="B114" s="62" t="s">
        <v>62</v>
      </c>
      <c r="C114" s="138">
        <v>200</v>
      </c>
      <c r="D114" s="58">
        <v>4.24</v>
      </c>
      <c r="E114" s="58">
        <v>5.2</v>
      </c>
      <c r="F114" s="58">
        <v>20.24</v>
      </c>
      <c r="G114" s="58">
        <v>112.8</v>
      </c>
      <c r="H114" s="58">
        <v>0.11</v>
      </c>
      <c r="I114" s="122">
        <v>0.06</v>
      </c>
      <c r="J114" s="123">
        <v>9.64</v>
      </c>
      <c r="K114" s="58">
        <v>21.3</v>
      </c>
      <c r="L114" s="129">
        <v>0.96</v>
      </c>
    </row>
    <row r="115" spans="1:12" ht="46.5" thickBot="1">
      <c r="A115" s="121">
        <v>13</v>
      </c>
      <c r="B115" s="54" t="s">
        <v>9</v>
      </c>
      <c r="C115" s="63" t="s">
        <v>173</v>
      </c>
      <c r="D115" s="58">
        <v>0</v>
      </c>
      <c r="E115" s="58">
        <v>0</v>
      </c>
      <c r="F115" s="58">
        <v>8.98</v>
      </c>
      <c r="G115" s="58">
        <v>30</v>
      </c>
      <c r="H115" s="58">
        <v>0</v>
      </c>
      <c r="I115" s="58">
        <v>0</v>
      </c>
      <c r="J115" s="58">
        <v>0</v>
      </c>
      <c r="K115" s="58">
        <v>0.27</v>
      </c>
      <c r="L115" s="58">
        <v>0.05</v>
      </c>
    </row>
    <row r="116" spans="1:12" ht="92.25" thickBot="1">
      <c r="A116" s="61" t="s">
        <v>45</v>
      </c>
      <c r="B116" s="62" t="s">
        <v>114</v>
      </c>
      <c r="C116" s="55">
        <v>20</v>
      </c>
      <c r="D116" s="58">
        <v>1.6</v>
      </c>
      <c r="E116" s="58">
        <v>0.2</v>
      </c>
      <c r="F116" s="58">
        <v>9.64</v>
      </c>
      <c r="G116" s="58">
        <v>47.2</v>
      </c>
      <c r="H116" s="58">
        <v>0.03</v>
      </c>
      <c r="I116" s="58">
        <v>0.01</v>
      </c>
      <c r="J116" s="58">
        <v>0</v>
      </c>
      <c r="K116" s="58">
        <v>4.8</v>
      </c>
      <c r="L116" s="58">
        <v>0.4</v>
      </c>
    </row>
    <row r="117" spans="1:12" ht="46.5" thickBot="1">
      <c r="A117" s="61">
        <v>21</v>
      </c>
      <c r="B117" s="125" t="s">
        <v>38</v>
      </c>
      <c r="C117" s="64" t="s">
        <v>239</v>
      </c>
      <c r="D117" s="56">
        <v>4.06</v>
      </c>
      <c r="E117" s="56">
        <v>4.48</v>
      </c>
      <c r="F117" s="56">
        <v>5.6</v>
      </c>
      <c r="G117" s="56">
        <v>82.6</v>
      </c>
      <c r="H117" s="56">
        <v>0.04</v>
      </c>
      <c r="I117" s="56">
        <v>0.24</v>
      </c>
      <c r="J117" s="56">
        <v>0.98</v>
      </c>
      <c r="K117" s="56">
        <v>168</v>
      </c>
      <c r="L117" s="56">
        <v>0.14</v>
      </c>
    </row>
    <row r="118" spans="1:12" ht="92.25" thickBot="1">
      <c r="A118" s="61">
        <v>77</v>
      </c>
      <c r="B118" s="54" t="s">
        <v>73</v>
      </c>
      <c r="C118" s="64" t="s">
        <v>170</v>
      </c>
      <c r="D118" s="56">
        <v>4.29</v>
      </c>
      <c r="E118" s="56">
        <v>8.22</v>
      </c>
      <c r="F118" s="56">
        <v>24.07</v>
      </c>
      <c r="G118" s="56">
        <v>145.3</v>
      </c>
      <c r="H118" s="56">
        <v>0.04</v>
      </c>
      <c r="I118" s="56">
        <v>0.05</v>
      </c>
      <c r="J118" s="56">
        <v>0.37</v>
      </c>
      <c r="K118" s="56">
        <v>84.35</v>
      </c>
      <c r="L118" s="56">
        <v>0.28</v>
      </c>
    </row>
    <row r="119" spans="1:12" ht="46.5" thickBot="1">
      <c r="A119" s="61"/>
      <c r="B119" s="62" t="s">
        <v>8</v>
      </c>
      <c r="C119" s="55"/>
      <c r="D119" s="58">
        <f>SUM(D114:D118)</f>
        <v>14.189999999999998</v>
      </c>
      <c r="E119" s="58">
        <f aca="true" t="shared" si="15" ref="E119:L119">SUM(E114:E118)</f>
        <v>18.1</v>
      </c>
      <c r="F119" s="58">
        <f t="shared" si="15"/>
        <v>68.53</v>
      </c>
      <c r="G119" s="58">
        <f t="shared" si="15"/>
        <v>417.90000000000003</v>
      </c>
      <c r="H119" s="58">
        <f t="shared" si="15"/>
        <v>0.22000000000000003</v>
      </c>
      <c r="I119" s="58">
        <f t="shared" si="15"/>
        <v>0.36</v>
      </c>
      <c r="J119" s="58">
        <f t="shared" si="15"/>
        <v>10.99</v>
      </c>
      <c r="K119" s="58">
        <f t="shared" si="15"/>
        <v>278.72</v>
      </c>
      <c r="L119" s="58">
        <f t="shared" si="15"/>
        <v>1.8300000000000003</v>
      </c>
    </row>
    <row r="120" spans="1:12" ht="53.25" thickBot="1">
      <c r="A120" s="61"/>
      <c r="B120" s="62"/>
      <c r="C120" s="64"/>
      <c r="D120" s="111" t="s">
        <v>1</v>
      </c>
      <c r="E120" s="112" t="s">
        <v>2</v>
      </c>
      <c r="F120" s="112" t="s">
        <v>3</v>
      </c>
      <c r="G120" s="126" t="s">
        <v>4</v>
      </c>
      <c r="H120" s="113" t="s">
        <v>251</v>
      </c>
      <c r="I120" s="113" t="s">
        <v>252</v>
      </c>
      <c r="J120" s="112" t="s">
        <v>6</v>
      </c>
      <c r="K120" s="112" t="s">
        <v>31</v>
      </c>
      <c r="L120" s="112" t="s">
        <v>5</v>
      </c>
    </row>
    <row r="121" spans="1:12" ht="46.5" thickBot="1">
      <c r="A121" s="61"/>
      <c r="B121" s="127" t="s">
        <v>12</v>
      </c>
      <c r="C121" s="64"/>
      <c r="D121" s="58">
        <f aca="true" t="shared" si="16" ref="D121:L121">SUM(D99+D103+D112+D119)</f>
        <v>47.05</v>
      </c>
      <c r="E121" s="58">
        <f t="shared" si="16"/>
        <v>50.39000000000001</v>
      </c>
      <c r="F121" s="58">
        <f t="shared" si="16"/>
        <v>261.35</v>
      </c>
      <c r="G121" s="58">
        <f t="shared" si="16"/>
        <v>1493.0600000000002</v>
      </c>
      <c r="H121" s="58">
        <f t="shared" si="16"/>
        <v>0.7</v>
      </c>
      <c r="I121" s="58">
        <f t="shared" si="16"/>
        <v>0.71</v>
      </c>
      <c r="J121" s="58">
        <f t="shared" si="16"/>
        <v>45.449999999999996</v>
      </c>
      <c r="K121" s="58">
        <f t="shared" si="16"/>
        <v>782.23</v>
      </c>
      <c r="L121" s="58">
        <f t="shared" si="16"/>
        <v>7.399</v>
      </c>
    </row>
    <row r="122" spans="1:12" ht="46.5" thickBot="1">
      <c r="A122" s="61"/>
      <c r="B122" s="127" t="s">
        <v>13</v>
      </c>
      <c r="C122" s="64"/>
      <c r="D122" s="58">
        <v>39.9</v>
      </c>
      <c r="E122" s="58">
        <v>44.65</v>
      </c>
      <c r="F122" s="58">
        <v>192.85</v>
      </c>
      <c r="G122" s="58">
        <v>1330</v>
      </c>
      <c r="H122" s="58">
        <v>0.76</v>
      </c>
      <c r="I122" s="58">
        <v>0.86</v>
      </c>
      <c r="J122" s="58">
        <v>42.75</v>
      </c>
      <c r="K122" s="58">
        <v>760</v>
      </c>
      <c r="L122" s="58">
        <v>9.5</v>
      </c>
    </row>
    <row r="123" spans="1:12" ht="91.5" thickBot="1">
      <c r="A123" s="115"/>
      <c r="B123" s="128" t="s">
        <v>14</v>
      </c>
      <c r="C123" s="112"/>
      <c r="D123" s="129">
        <f>D121*100/D122</f>
        <v>117.91979949874687</v>
      </c>
      <c r="E123" s="129">
        <f aca="true" t="shared" si="17" ref="E123:L123">E121*100/E122</f>
        <v>112.85554311310193</v>
      </c>
      <c r="F123" s="129">
        <f t="shared" si="17"/>
        <v>135.51983406792846</v>
      </c>
      <c r="G123" s="129">
        <f t="shared" si="17"/>
        <v>112.26015037593987</v>
      </c>
      <c r="H123" s="129">
        <f t="shared" si="17"/>
        <v>92.10526315789474</v>
      </c>
      <c r="I123" s="129">
        <f t="shared" si="17"/>
        <v>82.55813953488372</v>
      </c>
      <c r="J123" s="129">
        <f t="shared" si="17"/>
        <v>106.3157894736842</v>
      </c>
      <c r="K123" s="129">
        <f t="shared" si="17"/>
        <v>102.925</v>
      </c>
      <c r="L123" s="129">
        <f t="shared" si="17"/>
        <v>77.88421052631578</v>
      </c>
    </row>
    <row r="124" spans="1:12" ht="45.75">
      <c r="A124" s="130"/>
      <c r="B124" s="102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1:12" ht="45.75">
      <c r="A125" s="130"/>
      <c r="B125" s="100" t="s">
        <v>182</v>
      </c>
      <c r="C125" s="100"/>
      <c r="E125" s="132"/>
      <c r="F125" s="132"/>
      <c r="G125" s="132"/>
      <c r="H125" s="132"/>
      <c r="I125" s="132"/>
      <c r="J125" s="132"/>
      <c r="K125" s="132"/>
      <c r="L125" s="132"/>
    </row>
    <row r="126" spans="1:12" ht="53.25">
      <c r="A126" s="130"/>
      <c r="B126" s="100" t="s">
        <v>254</v>
      </c>
      <c r="L126" s="132"/>
    </row>
    <row r="127" spans="1:12" ht="45.75">
      <c r="A127" s="130"/>
      <c r="B127" s="100" t="s">
        <v>180</v>
      </c>
      <c r="L127" s="132"/>
    </row>
    <row r="128" spans="1:12" ht="45.75">
      <c r="A128" s="130"/>
      <c r="B128" s="100" t="s">
        <v>181</v>
      </c>
      <c r="L128" s="132"/>
    </row>
    <row r="129" spans="1:12" ht="45.75">
      <c r="A129" s="130"/>
      <c r="K129" s="132"/>
      <c r="L129" s="132"/>
    </row>
    <row r="130" spans="1:12" ht="45.75">
      <c r="A130" s="174" t="s">
        <v>104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</row>
    <row r="131" spans="1:12" ht="45.75">
      <c r="A131" s="174" t="s">
        <v>98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</row>
    <row r="132" spans="1:12" ht="45.75" customHeight="1">
      <c r="A132" s="175" t="s">
        <v>260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</row>
    <row r="133" spans="1:12" ht="46.5" thickBot="1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</row>
    <row r="134" spans="1:12" ht="46.5" thickBot="1">
      <c r="A134" s="177" t="s">
        <v>39</v>
      </c>
      <c r="B134" s="152" t="s">
        <v>100</v>
      </c>
      <c r="C134" s="104" t="s">
        <v>27</v>
      </c>
      <c r="D134" s="179" t="s">
        <v>28</v>
      </c>
      <c r="E134" s="180"/>
      <c r="F134" s="181"/>
      <c r="G134" s="152" t="s">
        <v>101</v>
      </c>
      <c r="H134" s="179" t="s">
        <v>29</v>
      </c>
      <c r="I134" s="180"/>
      <c r="J134" s="181"/>
      <c r="K134" s="179" t="s">
        <v>30</v>
      </c>
      <c r="L134" s="181"/>
    </row>
    <row r="135" spans="1:12" ht="53.25" thickBot="1">
      <c r="A135" s="178"/>
      <c r="B135" s="103"/>
      <c r="C135" s="105"/>
      <c r="D135" s="111" t="s">
        <v>1</v>
      </c>
      <c r="E135" s="112" t="s">
        <v>2</v>
      </c>
      <c r="F135" s="112" t="s">
        <v>3</v>
      </c>
      <c r="G135" s="103"/>
      <c r="H135" s="113" t="s">
        <v>251</v>
      </c>
      <c r="I135" s="135" t="s">
        <v>252</v>
      </c>
      <c r="J135" s="112" t="s">
        <v>6</v>
      </c>
      <c r="K135" s="112" t="s">
        <v>31</v>
      </c>
      <c r="L135" s="112" t="s">
        <v>5</v>
      </c>
    </row>
    <row r="136" spans="1:12" ht="46.5" thickBot="1">
      <c r="A136" s="110">
        <v>1</v>
      </c>
      <c r="B136" s="116">
        <v>2</v>
      </c>
      <c r="C136" s="117">
        <v>3</v>
      </c>
      <c r="D136" s="136">
        <v>4</v>
      </c>
      <c r="E136" s="116">
        <v>5</v>
      </c>
      <c r="F136" s="116">
        <v>6</v>
      </c>
      <c r="G136" s="116">
        <v>7</v>
      </c>
      <c r="H136" s="137">
        <v>8</v>
      </c>
      <c r="I136" s="116">
        <v>9</v>
      </c>
      <c r="J136" s="116">
        <v>10</v>
      </c>
      <c r="K136" s="137">
        <v>11</v>
      </c>
      <c r="L136" s="116">
        <v>12</v>
      </c>
    </row>
    <row r="137" spans="1:12" ht="46.5" thickBot="1">
      <c r="A137" s="179" t="s">
        <v>7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1"/>
    </row>
    <row r="138" spans="1:12" ht="92.25" thickBot="1">
      <c r="A138" s="61">
        <v>32</v>
      </c>
      <c r="B138" s="133" t="s">
        <v>52</v>
      </c>
      <c r="C138" s="55">
        <v>150</v>
      </c>
      <c r="D138" s="56">
        <v>4.66</v>
      </c>
      <c r="E138" s="56">
        <v>5.6</v>
      </c>
      <c r="F138" s="56">
        <v>18.82</v>
      </c>
      <c r="G138" s="56">
        <v>144</v>
      </c>
      <c r="H138" s="56">
        <v>0.06</v>
      </c>
      <c r="I138" s="56">
        <v>0.05</v>
      </c>
      <c r="J138" s="56">
        <v>1.46</v>
      </c>
      <c r="K138" s="56">
        <v>136.97</v>
      </c>
      <c r="L138" s="56">
        <v>0.23</v>
      </c>
    </row>
    <row r="139" spans="1:12" ht="46.5" thickBot="1">
      <c r="A139" s="61">
        <v>102</v>
      </c>
      <c r="B139" s="62" t="s">
        <v>236</v>
      </c>
      <c r="C139" s="55">
        <v>150</v>
      </c>
      <c r="D139" s="58">
        <v>1.5</v>
      </c>
      <c r="E139" s="58">
        <v>1.9</v>
      </c>
      <c r="F139" s="58">
        <v>14.2</v>
      </c>
      <c r="G139" s="58">
        <v>83.3</v>
      </c>
      <c r="H139" s="123">
        <v>0.02</v>
      </c>
      <c r="I139" s="123">
        <v>0.02</v>
      </c>
      <c r="J139" s="123">
        <v>0.29</v>
      </c>
      <c r="K139" s="58">
        <v>90.35</v>
      </c>
      <c r="L139" s="58">
        <v>0.29</v>
      </c>
    </row>
    <row r="140" spans="1:12" ht="46.5" thickBot="1">
      <c r="A140" s="61">
        <v>16</v>
      </c>
      <c r="B140" s="62" t="s">
        <v>54</v>
      </c>
      <c r="C140" s="63" t="s">
        <v>206</v>
      </c>
      <c r="D140" s="58">
        <v>1.54</v>
      </c>
      <c r="E140" s="58">
        <v>3.46</v>
      </c>
      <c r="F140" s="58">
        <v>9.75</v>
      </c>
      <c r="G140" s="58">
        <v>78</v>
      </c>
      <c r="H140" s="58">
        <v>0.02</v>
      </c>
      <c r="I140" s="58">
        <v>0.02</v>
      </c>
      <c r="J140" s="58">
        <v>0</v>
      </c>
      <c r="K140" s="58">
        <v>4.48</v>
      </c>
      <c r="L140" s="58">
        <v>0.23</v>
      </c>
    </row>
    <row r="141" spans="1:12" ht="46.5" thickBot="1">
      <c r="A141" s="61"/>
      <c r="B141" s="62" t="s">
        <v>8</v>
      </c>
      <c r="C141" s="129"/>
      <c r="D141" s="58">
        <f>SUM(D138:D140)</f>
        <v>7.7</v>
      </c>
      <c r="E141" s="58">
        <f aca="true" t="shared" si="18" ref="E141:L141">SUM(E138+E139+E140)</f>
        <v>10.96</v>
      </c>
      <c r="F141" s="58">
        <f t="shared" si="18"/>
        <v>42.769999999999996</v>
      </c>
      <c r="G141" s="58">
        <f t="shared" si="18"/>
        <v>305.3</v>
      </c>
      <c r="H141" s="58">
        <f t="shared" si="18"/>
        <v>0.1</v>
      </c>
      <c r="I141" s="58">
        <f t="shared" si="18"/>
        <v>0.09000000000000001</v>
      </c>
      <c r="J141" s="58">
        <f t="shared" si="18"/>
        <v>1.75</v>
      </c>
      <c r="K141" s="58">
        <f t="shared" si="18"/>
        <v>231.79999999999998</v>
      </c>
      <c r="L141" s="58">
        <f t="shared" si="18"/>
        <v>0.75</v>
      </c>
    </row>
    <row r="142" spans="1:12" ht="46.5" thickBot="1">
      <c r="A142" s="179" t="s">
        <v>107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1"/>
    </row>
    <row r="143" spans="1:12" ht="46.5" thickBot="1">
      <c r="A143" s="61" t="s">
        <v>45</v>
      </c>
      <c r="B143" s="62" t="s">
        <v>108</v>
      </c>
      <c r="C143" s="63" t="s">
        <v>238</v>
      </c>
      <c r="D143" s="58">
        <v>0.18</v>
      </c>
      <c r="E143" s="58">
        <v>0.09</v>
      </c>
      <c r="F143" s="58">
        <v>9.09</v>
      </c>
      <c r="G143" s="58">
        <v>41.4</v>
      </c>
      <c r="H143" s="58">
        <v>0.01</v>
      </c>
      <c r="I143" s="58">
        <v>0.01</v>
      </c>
      <c r="J143" s="58">
        <v>1.8</v>
      </c>
      <c r="K143" s="58">
        <v>6.3</v>
      </c>
      <c r="L143" s="58">
        <v>0.18</v>
      </c>
    </row>
    <row r="144" spans="1:12" ht="54" thickBot="1">
      <c r="A144" s="61" t="s">
        <v>45</v>
      </c>
      <c r="B144" s="62" t="s">
        <v>253</v>
      </c>
      <c r="C144" s="64" t="s">
        <v>33</v>
      </c>
      <c r="D144" s="58">
        <v>0.35</v>
      </c>
      <c r="E144" s="58">
        <v>0.35</v>
      </c>
      <c r="F144" s="58">
        <v>8.63</v>
      </c>
      <c r="G144" s="58">
        <v>41.35</v>
      </c>
      <c r="H144" s="58">
        <v>0.04</v>
      </c>
      <c r="I144" s="58">
        <v>0.03</v>
      </c>
      <c r="J144" s="58">
        <v>8.8</v>
      </c>
      <c r="K144" s="58">
        <v>14.09</v>
      </c>
      <c r="L144" s="58">
        <v>1.94</v>
      </c>
    </row>
    <row r="145" spans="1:12" ht="46.5" thickBot="1">
      <c r="A145" s="61"/>
      <c r="B145" s="62" t="s">
        <v>8</v>
      </c>
      <c r="C145" s="64"/>
      <c r="D145" s="58">
        <f>SUM(D143:D144)</f>
        <v>0.53</v>
      </c>
      <c r="E145" s="58">
        <f aca="true" t="shared" si="19" ref="E145:L145">SUM(E143:E144)</f>
        <v>0.43999999999999995</v>
      </c>
      <c r="F145" s="58">
        <f t="shared" si="19"/>
        <v>17.72</v>
      </c>
      <c r="G145" s="58">
        <f t="shared" si="19"/>
        <v>82.75</v>
      </c>
      <c r="H145" s="58">
        <f t="shared" si="19"/>
        <v>0.05</v>
      </c>
      <c r="I145" s="58">
        <f t="shared" si="19"/>
        <v>0.04</v>
      </c>
      <c r="J145" s="58">
        <f t="shared" si="19"/>
        <v>10.600000000000001</v>
      </c>
      <c r="K145" s="58">
        <f t="shared" si="19"/>
        <v>20.39</v>
      </c>
      <c r="L145" s="58">
        <f t="shared" si="19"/>
        <v>2.12</v>
      </c>
    </row>
    <row r="146" spans="1:12" ht="46.5" thickBot="1">
      <c r="A146" s="182" t="s">
        <v>40</v>
      </c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50"/>
    </row>
    <row r="147" spans="1:12" ht="138" thickBot="1">
      <c r="A147" s="121">
        <v>93</v>
      </c>
      <c r="B147" s="62" t="s">
        <v>208</v>
      </c>
      <c r="C147" s="64" t="s">
        <v>164</v>
      </c>
      <c r="D147" s="58">
        <v>0.54</v>
      </c>
      <c r="E147" s="58">
        <v>2.12</v>
      </c>
      <c r="F147" s="58">
        <v>3.47</v>
      </c>
      <c r="G147" s="58">
        <v>35.1</v>
      </c>
      <c r="H147" s="58">
        <v>0.02</v>
      </c>
      <c r="I147" s="58">
        <v>0.02</v>
      </c>
      <c r="J147" s="58">
        <v>4.32</v>
      </c>
      <c r="K147" s="58">
        <v>14.4</v>
      </c>
      <c r="L147" s="58">
        <v>0.19</v>
      </c>
    </row>
    <row r="148" spans="1:12" ht="92.25" thickBot="1">
      <c r="A148" s="61">
        <v>5</v>
      </c>
      <c r="B148" s="62" t="s">
        <v>63</v>
      </c>
      <c r="C148" s="64" t="s">
        <v>165</v>
      </c>
      <c r="D148" s="58">
        <v>2.82</v>
      </c>
      <c r="E148" s="58">
        <v>4.79</v>
      </c>
      <c r="F148" s="58">
        <v>7.83</v>
      </c>
      <c r="G148" s="58">
        <v>93.69</v>
      </c>
      <c r="H148" s="58">
        <v>0.04</v>
      </c>
      <c r="I148" s="58">
        <v>0.02</v>
      </c>
      <c r="J148" s="58">
        <v>7.8</v>
      </c>
      <c r="K148" s="58">
        <v>34.54</v>
      </c>
      <c r="L148" s="58">
        <v>0.87</v>
      </c>
    </row>
    <row r="149" spans="1:12" ht="46.5" thickBot="1">
      <c r="A149" s="61">
        <v>35</v>
      </c>
      <c r="B149" s="62" t="s">
        <v>42</v>
      </c>
      <c r="C149" s="64" t="s">
        <v>51</v>
      </c>
      <c r="D149" s="58">
        <v>4.5</v>
      </c>
      <c r="E149" s="58">
        <v>5.7</v>
      </c>
      <c r="F149" s="58">
        <v>1.85</v>
      </c>
      <c r="G149" s="58">
        <v>123.6</v>
      </c>
      <c r="H149" s="58">
        <v>0.03</v>
      </c>
      <c r="I149" s="58">
        <v>0.02</v>
      </c>
      <c r="J149" s="58">
        <v>0.6</v>
      </c>
      <c r="K149" s="58">
        <v>2.84</v>
      </c>
      <c r="L149" s="58">
        <v>0.14</v>
      </c>
    </row>
    <row r="150" spans="1:12" ht="92.25" thickBot="1">
      <c r="A150" s="61">
        <v>30</v>
      </c>
      <c r="B150" s="62" t="s">
        <v>136</v>
      </c>
      <c r="C150" s="55">
        <v>100</v>
      </c>
      <c r="D150" s="58">
        <v>3.56</v>
      </c>
      <c r="E150" s="58">
        <v>4.64</v>
      </c>
      <c r="F150" s="58">
        <v>20.97</v>
      </c>
      <c r="G150" s="58">
        <v>135.33</v>
      </c>
      <c r="H150" s="58">
        <v>0.04</v>
      </c>
      <c r="I150" s="58">
        <v>0.01</v>
      </c>
      <c r="J150" s="58">
        <v>3.97</v>
      </c>
      <c r="K150" s="58">
        <v>9.75</v>
      </c>
      <c r="L150" s="58">
        <v>0.05</v>
      </c>
    </row>
    <row r="151" spans="1:12" ht="46.5" thickBot="1">
      <c r="A151" s="61">
        <v>20</v>
      </c>
      <c r="B151" s="62" t="s">
        <v>43</v>
      </c>
      <c r="C151" s="55">
        <v>150</v>
      </c>
      <c r="D151" s="58">
        <v>0</v>
      </c>
      <c r="E151" s="58">
        <v>0</v>
      </c>
      <c r="F151" s="58">
        <v>13.5</v>
      </c>
      <c r="G151" s="58">
        <v>46.5</v>
      </c>
      <c r="H151" s="58">
        <v>0</v>
      </c>
      <c r="I151" s="58">
        <v>0</v>
      </c>
      <c r="J151" s="58">
        <v>0</v>
      </c>
      <c r="K151" s="58">
        <v>0.37</v>
      </c>
      <c r="L151" s="58">
        <v>0.06</v>
      </c>
    </row>
    <row r="152" spans="1:12" ht="92.25" thickBot="1">
      <c r="A152" s="61" t="s">
        <v>45</v>
      </c>
      <c r="B152" s="62" t="s">
        <v>114</v>
      </c>
      <c r="C152" s="55">
        <v>25</v>
      </c>
      <c r="D152" s="58">
        <v>2</v>
      </c>
      <c r="E152" s="58">
        <v>0.25</v>
      </c>
      <c r="F152" s="58">
        <v>12.05</v>
      </c>
      <c r="G152" s="58">
        <v>59</v>
      </c>
      <c r="H152" s="58">
        <v>0.04</v>
      </c>
      <c r="I152" s="58">
        <v>0.02</v>
      </c>
      <c r="J152" s="58">
        <v>0</v>
      </c>
      <c r="K152" s="58">
        <v>6</v>
      </c>
      <c r="L152" s="58">
        <v>0.5</v>
      </c>
    </row>
    <row r="153" spans="1:12" ht="92.25" thickBot="1">
      <c r="A153" s="61" t="s">
        <v>45</v>
      </c>
      <c r="B153" s="62" t="s">
        <v>144</v>
      </c>
      <c r="C153" s="55">
        <v>40</v>
      </c>
      <c r="D153" s="58">
        <v>2.24</v>
      </c>
      <c r="E153" s="58">
        <v>0.48</v>
      </c>
      <c r="F153" s="58">
        <v>19.76</v>
      </c>
      <c r="G153" s="58">
        <v>92.8</v>
      </c>
      <c r="H153" s="58">
        <v>0.05</v>
      </c>
      <c r="I153" s="58">
        <v>0.02</v>
      </c>
      <c r="J153" s="58">
        <v>0</v>
      </c>
      <c r="K153" s="58">
        <v>9.6</v>
      </c>
      <c r="L153" s="58">
        <v>1.28</v>
      </c>
    </row>
    <row r="154" spans="1:12" ht="46.5" thickBot="1">
      <c r="A154" s="61"/>
      <c r="B154" s="62" t="s">
        <v>8</v>
      </c>
      <c r="C154" s="55"/>
      <c r="D154" s="58">
        <f aca="true" t="shared" si="20" ref="D154:L154">SUM(D147:D153)</f>
        <v>15.66</v>
      </c>
      <c r="E154" s="58">
        <f t="shared" si="20"/>
        <v>17.98</v>
      </c>
      <c r="F154" s="58">
        <f t="shared" si="20"/>
        <v>79.43</v>
      </c>
      <c r="G154" s="58">
        <f t="shared" si="20"/>
        <v>586.02</v>
      </c>
      <c r="H154" s="58">
        <f t="shared" si="20"/>
        <v>0.22000000000000003</v>
      </c>
      <c r="I154" s="58">
        <f t="shared" si="20"/>
        <v>0.11</v>
      </c>
      <c r="J154" s="58">
        <f t="shared" si="20"/>
        <v>16.69</v>
      </c>
      <c r="K154" s="58">
        <f t="shared" si="20"/>
        <v>77.5</v>
      </c>
      <c r="L154" s="58">
        <f t="shared" si="20"/>
        <v>3.0900000000000003</v>
      </c>
    </row>
    <row r="155" spans="1:12" ht="46.5" thickBot="1">
      <c r="A155" s="182" t="s">
        <v>207</v>
      </c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50"/>
    </row>
    <row r="156" spans="1:12" ht="46.5" thickBot="1">
      <c r="A156" s="61">
        <v>90</v>
      </c>
      <c r="B156" s="62" t="s">
        <v>197</v>
      </c>
      <c r="C156" s="55">
        <v>150</v>
      </c>
      <c r="D156" s="58">
        <v>2.23</v>
      </c>
      <c r="E156" s="58">
        <v>4.04</v>
      </c>
      <c r="F156" s="58">
        <v>10.16</v>
      </c>
      <c r="G156" s="58">
        <v>86.67</v>
      </c>
      <c r="H156" s="58">
        <v>0.05</v>
      </c>
      <c r="I156" s="58">
        <v>0.04</v>
      </c>
      <c r="J156" s="58">
        <v>14.33</v>
      </c>
      <c r="K156" s="58">
        <v>50.12</v>
      </c>
      <c r="L156" s="58">
        <v>0.83</v>
      </c>
    </row>
    <row r="157" spans="1:12" ht="46.5" thickBot="1">
      <c r="A157" s="53">
        <v>76</v>
      </c>
      <c r="B157" s="54" t="s">
        <v>61</v>
      </c>
      <c r="C157" s="64" t="s">
        <v>173</v>
      </c>
      <c r="D157" s="56">
        <v>0.67</v>
      </c>
      <c r="E157" s="56">
        <v>0.83</v>
      </c>
      <c r="F157" s="56">
        <v>11.25</v>
      </c>
      <c r="G157" s="56">
        <v>46.67</v>
      </c>
      <c r="H157" s="56">
        <v>0.02</v>
      </c>
      <c r="I157" s="56">
        <v>0.06</v>
      </c>
      <c r="J157" s="56">
        <v>0.54</v>
      </c>
      <c r="K157" s="56">
        <v>50.29</v>
      </c>
      <c r="L157" s="56">
        <v>0.09</v>
      </c>
    </row>
    <row r="158" spans="1:12" ht="92.25" thickBot="1">
      <c r="A158" s="61" t="s">
        <v>45</v>
      </c>
      <c r="B158" s="62" t="s">
        <v>114</v>
      </c>
      <c r="C158" s="55">
        <v>20</v>
      </c>
      <c r="D158" s="58">
        <v>1.6</v>
      </c>
      <c r="E158" s="58">
        <v>0.2</v>
      </c>
      <c r="F158" s="58">
        <v>9.64</v>
      </c>
      <c r="G158" s="58">
        <v>47.2</v>
      </c>
      <c r="H158" s="58">
        <v>0.03</v>
      </c>
      <c r="I158" s="58">
        <v>0.01</v>
      </c>
      <c r="J158" s="58">
        <v>0</v>
      </c>
      <c r="K158" s="58">
        <v>4.8</v>
      </c>
      <c r="L158" s="58">
        <v>0.4</v>
      </c>
    </row>
    <row r="159" spans="1:12" ht="46.5" thickBot="1">
      <c r="A159" s="61">
        <v>21</v>
      </c>
      <c r="B159" s="125" t="s">
        <v>38</v>
      </c>
      <c r="C159" s="64" t="s">
        <v>239</v>
      </c>
      <c r="D159" s="56">
        <v>4.06</v>
      </c>
      <c r="E159" s="56">
        <v>4.48</v>
      </c>
      <c r="F159" s="56">
        <v>5.6</v>
      </c>
      <c r="G159" s="56">
        <v>82.6</v>
      </c>
      <c r="H159" s="56">
        <v>0.04</v>
      </c>
      <c r="I159" s="56">
        <v>0.24</v>
      </c>
      <c r="J159" s="56">
        <v>0.98</v>
      </c>
      <c r="K159" s="56">
        <v>168</v>
      </c>
      <c r="L159" s="56">
        <v>0.14</v>
      </c>
    </row>
    <row r="160" spans="1:12" ht="138" thickBot="1">
      <c r="A160" s="61" t="s">
        <v>230</v>
      </c>
      <c r="B160" s="62" t="s">
        <v>229</v>
      </c>
      <c r="C160" s="63" t="s">
        <v>51</v>
      </c>
      <c r="D160" s="56">
        <v>5.4</v>
      </c>
      <c r="E160" s="56">
        <v>6.8</v>
      </c>
      <c r="F160" s="56">
        <v>18.3</v>
      </c>
      <c r="G160" s="56">
        <v>137</v>
      </c>
      <c r="H160" s="56">
        <v>0.05</v>
      </c>
      <c r="I160" s="56">
        <v>0.03</v>
      </c>
      <c r="J160" s="56">
        <v>0.11</v>
      </c>
      <c r="K160" s="56">
        <v>34.91</v>
      </c>
      <c r="L160" s="56">
        <v>0.37</v>
      </c>
    </row>
    <row r="161" spans="1:12" s="120" customFormat="1" ht="46.5" thickBot="1">
      <c r="A161" s="61"/>
      <c r="B161" s="62" t="s">
        <v>8</v>
      </c>
      <c r="C161" s="64"/>
      <c r="D161" s="58">
        <f>SUM(D156:D160)</f>
        <v>13.959999999999999</v>
      </c>
      <c r="E161" s="58">
        <f aca="true" t="shared" si="21" ref="E161:L161">SUM(E156:E160)</f>
        <v>16.35</v>
      </c>
      <c r="F161" s="58">
        <f t="shared" si="21"/>
        <v>54.95</v>
      </c>
      <c r="G161" s="58">
        <f t="shared" si="21"/>
        <v>400.14</v>
      </c>
      <c r="H161" s="58">
        <f t="shared" si="21"/>
        <v>0.19</v>
      </c>
      <c r="I161" s="58">
        <f t="shared" si="21"/>
        <v>0.38</v>
      </c>
      <c r="J161" s="58">
        <f t="shared" si="21"/>
        <v>15.96</v>
      </c>
      <c r="K161" s="58">
        <f t="shared" si="21"/>
        <v>308.12</v>
      </c>
      <c r="L161" s="58">
        <f t="shared" si="21"/>
        <v>1.83</v>
      </c>
    </row>
    <row r="162" spans="1:12" ht="53.25" thickBot="1">
      <c r="A162" s="61"/>
      <c r="B162" s="62"/>
      <c r="C162" s="64"/>
      <c r="D162" s="111" t="s">
        <v>1</v>
      </c>
      <c r="E162" s="112" t="s">
        <v>2</v>
      </c>
      <c r="F162" s="112" t="s">
        <v>3</v>
      </c>
      <c r="G162" s="126" t="s">
        <v>4</v>
      </c>
      <c r="H162" s="113" t="s">
        <v>251</v>
      </c>
      <c r="I162" s="113" t="s">
        <v>252</v>
      </c>
      <c r="J162" s="112" t="s">
        <v>6</v>
      </c>
      <c r="K162" s="112" t="s">
        <v>31</v>
      </c>
      <c r="L162" s="112" t="s">
        <v>5</v>
      </c>
    </row>
    <row r="163" spans="1:12" ht="46.5" thickBot="1">
      <c r="A163" s="61"/>
      <c r="B163" s="127" t="s">
        <v>12</v>
      </c>
      <c r="C163" s="64"/>
      <c r="D163" s="58">
        <f aca="true" t="shared" si="22" ref="D163:L163">SUM(D141+D145+D154+D161)</f>
        <v>37.85</v>
      </c>
      <c r="E163" s="58">
        <f t="shared" si="22"/>
        <v>45.730000000000004</v>
      </c>
      <c r="F163" s="58">
        <f t="shared" si="22"/>
        <v>194.87</v>
      </c>
      <c r="G163" s="58">
        <f t="shared" si="22"/>
        <v>1374.21</v>
      </c>
      <c r="H163" s="58">
        <f t="shared" si="22"/>
        <v>0.56</v>
      </c>
      <c r="I163" s="58">
        <f t="shared" si="22"/>
        <v>0.62</v>
      </c>
      <c r="J163" s="58">
        <f t="shared" si="22"/>
        <v>45</v>
      </c>
      <c r="K163" s="58">
        <f t="shared" si="22"/>
        <v>637.81</v>
      </c>
      <c r="L163" s="58">
        <f t="shared" si="22"/>
        <v>7.790000000000001</v>
      </c>
    </row>
    <row r="164" spans="1:12" ht="46.5" thickBot="1">
      <c r="A164" s="61"/>
      <c r="B164" s="127" t="s">
        <v>13</v>
      </c>
      <c r="C164" s="64"/>
      <c r="D164" s="58">
        <v>39.9</v>
      </c>
      <c r="E164" s="58">
        <v>44.65</v>
      </c>
      <c r="F164" s="58">
        <v>192.85</v>
      </c>
      <c r="G164" s="58">
        <v>1330</v>
      </c>
      <c r="H164" s="58">
        <v>0.76</v>
      </c>
      <c r="I164" s="58">
        <v>0.86</v>
      </c>
      <c r="J164" s="58">
        <v>42.75</v>
      </c>
      <c r="K164" s="58">
        <v>760</v>
      </c>
      <c r="L164" s="58">
        <v>9.5</v>
      </c>
    </row>
    <row r="165" spans="1:12" ht="91.5" thickBot="1">
      <c r="A165" s="115"/>
      <c r="B165" s="128" t="s">
        <v>14</v>
      </c>
      <c r="C165" s="112"/>
      <c r="D165" s="129">
        <f>D163*100/D164</f>
        <v>94.86215538847118</v>
      </c>
      <c r="E165" s="129">
        <f aca="true" t="shared" si="23" ref="E165:L165">E163*100/E164</f>
        <v>102.41881298992162</v>
      </c>
      <c r="F165" s="129">
        <f t="shared" si="23"/>
        <v>101.04744620171118</v>
      </c>
      <c r="G165" s="129">
        <f t="shared" si="23"/>
        <v>103.32406015037594</v>
      </c>
      <c r="H165" s="129">
        <f t="shared" si="23"/>
        <v>73.6842105263158</v>
      </c>
      <c r="I165" s="129">
        <f t="shared" si="23"/>
        <v>72.09302325581396</v>
      </c>
      <c r="J165" s="129">
        <f t="shared" si="23"/>
        <v>105.26315789473684</v>
      </c>
      <c r="K165" s="129">
        <f t="shared" si="23"/>
        <v>83.92236842105262</v>
      </c>
      <c r="L165" s="129">
        <f t="shared" si="23"/>
        <v>82.00000000000001</v>
      </c>
    </row>
    <row r="166" spans="1:12" ht="45.75">
      <c r="A166" s="130"/>
      <c r="B166" s="102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1:12" ht="45.75">
      <c r="A167" s="130"/>
      <c r="B167" s="100" t="s">
        <v>182</v>
      </c>
      <c r="C167" s="100"/>
      <c r="E167" s="132"/>
      <c r="F167" s="132"/>
      <c r="G167" s="132"/>
      <c r="H167" s="132"/>
      <c r="I167" s="132"/>
      <c r="J167" s="132"/>
      <c r="K167" s="132"/>
      <c r="L167" s="132"/>
    </row>
    <row r="168" spans="1:12" ht="53.25">
      <c r="A168" s="130"/>
      <c r="B168" s="100" t="s">
        <v>254</v>
      </c>
      <c r="L168" s="132"/>
    </row>
    <row r="169" spans="1:12" ht="45.75">
      <c r="A169" s="130"/>
      <c r="B169" s="100" t="s">
        <v>180</v>
      </c>
      <c r="L169" s="132"/>
    </row>
    <row r="170" spans="1:12" ht="45.75">
      <c r="A170" s="130"/>
      <c r="B170" s="100" t="s">
        <v>181</v>
      </c>
      <c r="L170" s="132"/>
    </row>
    <row r="171" spans="1:12" ht="45.75">
      <c r="A171" s="130"/>
      <c r="K171" s="132"/>
      <c r="L171" s="132"/>
    </row>
    <row r="172" spans="1:12" ht="45.75">
      <c r="A172" s="174" t="s">
        <v>105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</row>
    <row r="173" spans="1:12" ht="45.75">
      <c r="A173" s="174" t="s">
        <v>98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</row>
    <row r="174" spans="1:12" ht="45.75" customHeight="1">
      <c r="A174" s="175" t="s">
        <v>260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</row>
    <row r="175" spans="1:12" ht="46.5" thickBot="1">
      <c r="A175" s="176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</row>
    <row r="176" spans="1:12" ht="46.5" thickBot="1">
      <c r="A176" s="177" t="s">
        <v>39</v>
      </c>
      <c r="B176" s="152" t="s">
        <v>100</v>
      </c>
      <c r="C176" s="104" t="s">
        <v>27</v>
      </c>
      <c r="D176" s="179" t="s">
        <v>28</v>
      </c>
      <c r="E176" s="180"/>
      <c r="F176" s="181"/>
      <c r="G176" s="152" t="s">
        <v>101</v>
      </c>
      <c r="H176" s="179" t="s">
        <v>29</v>
      </c>
      <c r="I176" s="180"/>
      <c r="J176" s="181"/>
      <c r="K176" s="179" t="s">
        <v>30</v>
      </c>
      <c r="L176" s="181"/>
    </row>
    <row r="177" spans="1:12" ht="53.25" thickBot="1">
      <c r="A177" s="178"/>
      <c r="B177" s="103"/>
      <c r="C177" s="105"/>
      <c r="D177" s="111" t="s">
        <v>1</v>
      </c>
      <c r="E177" s="112" t="s">
        <v>2</v>
      </c>
      <c r="F177" s="112" t="s">
        <v>3</v>
      </c>
      <c r="G177" s="103"/>
      <c r="H177" s="113" t="s">
        <v>251</v>
      </c>
      <c r="I177" s="135" t="s">
        <v>252</v>
      </c>
      <c r="J177" s="112" t="s">
        <v>6</v>
      </c>
      <c r="K177" s="112" t="s">
        <v>31</v>
      </c>
      <c r="L177" s="112" t="s">
        <v>5</v>
      </c>
    </row>
    <row r="178" spans="1:12" ht="46.5" thickBot="1">
      <c r="A178" s="110">
        <v>1</v>
      </c>
      <c r="B178" s="116">
        <v>2</v>
      </c>
      <c r="C178" s="117">
        <v>3</v>
      </c>
      <c r="D178" s="136">
        <v>4</v>
      </c>
      <c r="E178" s="116">
        <v>5</v>
      </c>
      <c r="F178" s="116">
        <v>6</v>
      </c>
      <c r="G178" s="116">
        <v>7</v>
      </c>
      <c r="H178" s="137">
        <v>8</v>
      </c>
      <c r="I178" s="116">
        <v>9</v>
      </c>
      <c r="J178" s="116">
        <v>10</v>
      </c>
      <c r="K178" s="137">
        <v>11</v>
      </c>
      <c r="L178" s="116">
        <v>12</v>
      </c>
    </row>
    <row r="179" spans="1:12" ht="46.5" thickBot="1">
      <c r="A179" s="179" t="s">
        <v>7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1"/>
    </row>
    <row r="180" spans="1:12" s="139" customFormat="1" ht="92.25" thickBot="1">
      <c r="A180" s="121">
        <v>37</v>
      </c>
      <c r="B180" s="124" t="s">
        <v>53</v>
      </c>
      <c r="C180" s="55">
        <v>80</v>
      </c>
      <c r="D180" s="56">
        <v>7.21</v>
      </c>
      <c r="E180" s="56">
        <v>10.01</v>
      </c>
      <c r="F180" s="56">
        <v>1.79</v>
      </c>
      <c r="G180" s="56">
        <v>125</v>
      </c>
      <c r="H180" s="56">
        <v>0.04</v>
      </c>
      <c r="I180" s="56">
        <v>0.03</v>
      </c>
      <c r="J180" s="56">
        <v>0.39</v>
      </c>
      <c r="K180" s="56">
        <v>63.98</v>
      </c>
      <c r="L180" s="56">
        <v>0.96</v>
      </c>
    </row>
    <row r="181" spans="1:12" s="139" customFormat="1" ht="92.25" thickBot="1">
      <c r="A181" s="121">
        <v>38</v>
      </c>
      <c r="B181" s="62" t="s">
        <v>137</v>
      </c>
      <c r="C181" s="64" t="s">
        <v>164</v>
      </c>
      <c r="D181" s="58">
        <v>2.25</v>
      </c>
      <c r="E181" s="58">
        <v>0.09</v>
      </c>
      <c r="F181" s="58">
        <v>3.74</v>
      </c>
      <c r="G181" s="58">
        <v>24.75</v>
      </c>
      <c r="H181" s="58">
        <v>0.15</v>
      </c>
      <c r="I181" s="58">
        <v>0.08</v>
      </c>
      <c r="J181" s="58">
        <v>4.5</v>
      </c>
      <c r="K181" s="58">
        <v>11.7</v>
      </c>
      <c r="L181" s="58">
        <v>0.32</v>
      </c>
    </row>
    <row r="182" spans="1:12" ht="92.25" thickBot="1">
      <c r="A182" s="61">
        <v>2</v>
      </c>
      <c r="B182" s="62" t="s">
        <v>189</v>
      </c>
      <c r="C182" s="55">
        <v>150</v>
      </c>
      <c r="D182" s="56">
        <v>1.08</v>
      </c>
      <c r="E182" s="56">
        <v>1.08</v>
      </c>
      <c r="F182" s="56">
        <v>11.67</v>
      </c>
      <c r="G182" s="56">
        <v>76.67</v>
      </c>
      <c r="H182" s="56">
        <v>0.02</v>
      </c>
      <c r="I182" s="56">
        <v>0.02</v>
      </c>
      <c r="J182" s="56">
        <v>0.83</v>
      </c>
      <c r="K182" s="56">
        <v>90.2</v>
      </c>
      <c r="L182" s="56">
        <v>0.02</v>
      </c>
    </row>
    <row r="183" spans="1:12" ht="92.25" thickBot="1">
      <c r="A183" s="61">
        <v>3</v>
      </c>
      <c r="B183" s="62" t="s">
        <v>58</v>
      </c>
      <c r="C183" s="64" t="s">
        <v>231</v>
      </c>
      <c r="D183" s="58">
        <v>3.61</v>
      </c>
      <c r="E183" s="58">
        <v>5.4</v>
      </c>
      <c r="F183" s="58">
        <v>9.75</v>
      </c>
      <c r="G183" s="58">
        <v>106</v>
      </c>
      <c r="H183" s="58">
        <v>0.02</v>
      </c>
      <c r="I183" s="58">
        <v>0.01</v>
      </c>
      <c r="J183" s="58">
        <v>0.14</v>
      </c>
      <c r="K183" s="58">
        <v>94.48</v>
      </c>
      <c r="L183" s="58">
        <v>0.33</v>
      </c>
    </row>
    <row r="184" spans="1:12" ht="46.5" thickBot="1">
      <c r="A184" s="61"/>
      <c r="B184" s="62" t="s">
        <v>8</v>
      </c>
      <c r="C184" s="129"/>
      <c r="D184" s="58">
        <f aca="true" t="shared" si="24" ref="D184:L184">SUM(D180:D183)</f>
        <v>14.15</v>
      </c>
      <c r="E184" s="58">
        <f t="shared" si="24"/>
        <v>16.58</v>
      </c>
      <c r="F184" s="58">
        <f t="shared" si="24"/>
        <v>26.95</v>
      </c>
      <c r="G184" s="58">
        <f t="shared" si="24"/>
        <v>332.42</v>
      </c>
      <c r="H184" s="58">
        <f t="shared" si="24"/>
        <v>0.22999999999999998</v>
      </c>
      <c r="I184" s="58">
        <f t="shared" si="24"/>
        <v>0.14</v>
      </c>
      <c r="J184" s="58">
        <f t="shared" si="24"/>
        <v>5.859999999999999</v>
      </c>
      <c r="K184" s="58">
        <f t="shared" si="24"/>
        <v>260.36</v>
      </c>
      <c r="L184" s="58">
        <f t="shared" si="24"/>
        <v>1.6300000000000001</v>
      </c>
    </row>
    <row r="185" spans="1:12" ht="46.5" thickBot="1">
      <c r="A185" s="179" t="s">
        <v>107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1"/>
    </row>
    <row r="186" spans="1:12" ht="46.5" thickBot="1">
      <c r="A186" s="61" t="s">
        <v>45</v>
      </c>
      <c r="B186" s="62" t="s">
        <v>108</v>
      </c>
      <c r="C186" s="63" t="s">
        <v>238</v>
      </c>
      <c r="D186" s="58">
        <v>0.18</v>
      </c>
      <c r="E186" s="58">
        <v>0.09</v>
      </c>
      <c r="F186" s="58">
        <v>9.09</v>
      </c>
      <c r="G186" s="58">
        <v>41.4</v>
      </c>
      <c r="H186" s="58">
        <v>0.01</v>
      </c>
      <c r="I186" s="58">
        <v>0.01</v>
      </c>
      <c r="J186" s="58">
        <v>1.8</v>
      </c>
      <c r="K186" s="58">
        <v>6.3</v>
      </c>
      <c r="L186" s="58">
        <v>0.18</v>
      </c>
    </row>
    <row r="187" spans="1:12" ht="54" thickBot="1">
      <c r="A187" s="61" t="s">
        <v>45</v>
      </c>
      <c r="B187" s="62" t="s">
        <v>255</v>
      </c>
      <c r="C187" s="55">
        <v>100</v>
      </c>
      <c r="D187" s="58">
        <v>0.35</v>
      </c>
      <c r="E187" s="58">
        <v>0.28</v>
      </c>
      <c r="F187" s="58">
        <v>9.28</v>
      </c>
      <c r="G187" s="58">
        <v>42.3</v>
      </c>
      <c r="H187" s="58">
        <v>0.03</v>
      </c>
      <c r="I187" s="58">
        <v>0.04</v>
      </c>
      <c r="J187" s="58">
        <v>4.5</v>
      </c>
      <c r="K187" s="58">
        <v>17.1</v>
      </c>
      <c r="L187" s="58">
        <v>2.08</v>
      </c>
    </row>
    <row r="188" spans="1:12" ht="46.5" thickBot="1">
      <c r="A188" s="61"/>
      <c r="B188" s="62" t="s">
        <v>8</v>
      </c>
      <c r="C188" s="64"/>
      <c r="D188" s="58">
        <f>SUM(D186:D187)</f>
        <v>0.53</v>
      </c>
      <c r="E188" s="58">
        <f aca="true" t="shared" si="25" ref="E188:L188">SUM(E186:E187)</f>
        <v>0.37</v>
      </c>
      <c r="F188" s="58">
        <f t="shared" si="25"/>
        <v>18.369999999999997</v>
      </c>
      <c r="G188" s="58">
        <f t="shared" si="25"/>
        <v>83.69999999999999</v>
      </c>
      <c r="H188" s="58">
        <f t="shared" si="25"/>
        <v>0.04</v>
      </c>
      <c r="I188" s="58">
        <f t="shared" si="25"/>
        <v>0.05</v>
      </c>
      <c r="J188" s="58">
        <f t="shared" si="25"/>
        <v>6.3</v>
      </c>
      <c r="K188" s="58">
        <f t="shared" si="25"/>
        <v>23.400000000000002</v>
      </c>
      <c r="L188" s="58">
        <f t="shared" si="25"/>
        <v>2.2600000000000002</v>
      </c>
    </row>
    <row r="189" spans="1:12" ht="46.5" thickBot="1">
      <c r="A189" s="182" t="s">
        <v>40</v>
      </c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50"/>
    </row>
    <row r="190" spans="1:12" ht="92.25" thickBot="1">
      <c r="A190" s="121">
        <v>69</v>
      </c>
      <c r="B190" s="62" t="s">
        <v>64</v>
      </c>
      <c r="C190" s="63" t="s">
        <v>164</v>
      </c>
      <c r="D190" s="58">
        <v>0.36</v>
      </c>
      <c r="E190" s="58">
        <v>0.05</v>
      </c>
      <c r="F190" s="58">
        <v>1.13</v>
      </c>
      <c r="G190" s="58">
        <v>6.3</v>
      </c>
      <c r="H190" s="58">
        <v>0.02</v>
      </c>
      <c r="I190" s="58">
        <v>0.02</v>
      </c>
      <c r="J190" s="58">
        <v>4.5</v>
      </c>
      <c r="K190" s="58">
        <v>10.35</v>
      </c>
      <c r="L190" s="58">
        <v>0.27</v>
      </c>
    </row>
    <row r="191" spans="1:12" ht="92.25" thickBot="1">
      <c r="A191" s="61">
        <v>47</v>
      </c>
      <c r="B191" s="62" t="s">
        <v>139</v>
      </c>
      <c r="C191" s="64" t="s">
        <v>163</v>
      </c>
      <c r="D191" s="58">
        <v>4.3</v>
      </c>
      <c r="E191" s="58">
        <v>3.9</v>
      </c>
      <c r="F191" s="58">
        <v>17.51</v>
      </c>
      <c r="G191" s="58">
        <v>105.6</v>
      </c>
      <c r="H191" s="58">
        <v>0.17</v>
      </c>
      <c r="I191" s="58">
        <v>0.06</v>
      </c>
      <c r="J191" s="58">
        <v>4.83</v>
      </c>
      <c r="K191" s="58">
        <v>28.44</v>
      </c>
      <c r="L191" s="58">
        <v>1.03</v>
      </c>
    </row>
    <row r="192" spans="1:12" ht="46.5" thickBot="1">
      <c r="A192" s="61">
        <v>71</v>
      </c>
      <c r="B192" s="62" t="s">
        <v>92</v>
      </c>
      <c r="C192" s="64" t="s">
        <v>147</v>
      </c>
      <c r="D192" s="58">
        <v>4.11</v>
      </c>
      <c r="E192" s="58">
        <v>3.18</v>
      </c>
      <c r="F192" s="58">
        <v>2.99</v>
      </c>
      <c r="G192" s="58">
        <v>56.88</v>
      </c>
      <c r="H192" s="58">
        <v>0.02</v>
      </c>
      <c r="I192" s="58">
        <v>0.03</v>
      </c>
      <c r="J192" s="58">
        <v>6.23</v>
      </c>
      <c r="K192" s="58">
        <v>16.93</v>
      </c>
      <c r="L192" s="58">
        <v>0.43</v>
      </c>
    </row>
    <row r="193" spans="1:12" ht="46.5" thickBot="1">
      <c r="A193" s="61">
        <v>7</v>
      </c>
      <c r="B193" s="62" t="s">
        <v>177</v>
      </c>
      <c r="C193" s="55">
        <v>35</v>
      </c>
      <c r="D193" s="58">
        <v>0.48</v>
      </c>
      <c r="E193" s="58">
        <v>1.37</v>
      </c>
      <c r="F193" s="58">
        <v>2.16</v>
      </c>
      <c r="G193" s="58">
        <v>21.7</v>
      </c>
      <c r="H193" s="58">
        <v>0.006</v>
      </c>
      <c r="I193" s="58">
        <v>0.07</v>
      </c>
      <c r="J193" s="58">
        <v>0</v>
      </c>
      <c r="K193" s="58">
        <v>0</v>
      </c>
      <c r="L193" s="58">
        <v>0.27</v>
      </c>
    </row>
    <row r="194" spans="1:12" ht="46.5" thickBot="1">
      <c r="A194" s="121">
        <v>8</v>
      </c>
      <c r="B194" s="62" t="s">
        <v>55</v>
      </c>
      <c r="C194" s="55">
        <v>120</v>
      </c>
      <c r="D194" s="58">
        <v>2.44</v>
      </c>
      <c r="E194" s="58">
        <v>4.19</v>
      </c>
      <c r="F194" s="58">
        <v>14.45</v>
      </c>
      <c r="G194" s="58">
        <v>113.6</v>
      </c>
      <c r="H194" s="58">
        <v>0.11</v>
      </c>
      <c r="I194" s="58">
        <v>0.08</v>
      </c>
      <c r="J194" s="58">
        <v>14.36</v>
      </c>
      <c r="K194" s="58">
        <v>36.94</v>
      </c>
      <c r="L194" s="58">
        <v>0.85</v>
      </c>
    </row>
    <row r="195" spans="1:12" ht="92.25" thickBot="1">
      <c r="A195" s="61" t="s">
        <v>241</v>
      </c>
      <c r="B195" s="62" t="s">
        <v>242</v>
      </c>
      <c r="C195" s="55">
        <v>180</v>
      </c>
      <c r="D195" s="58">
        <v>0.43</v>
      </c>
      <c r="E195" s="58">
        <v>0</v>
      </c>
      <c r="F195" s="58">
        <v>21.42</v>
      </c>
      <c r="G195" s="58">
        <v>81</v>
      </c>
      <c r="H195" s="58">
        <v>0</v>
      </c>
      <c r="I195" s="58">
        <v>0</v>
      </c>
      <c r="J195" s="58">
        <v>0.36</v>
      </c>
      <c r="K195" s="58">
        <v>44.23</v>
      </c>
      <c r="L195" s="58">
        <v>0.009</v>
      </c>
    </row>
    <row r="196" spans="1:12" ht="92.25" thickBot="1">
      <c r="A196" s="61" t="s">
        <v>45</v>
      </c>
      <c r="B196" s="62" t="s">
        <v>114</v>
      </c>
      <c r="C196" s="55">
        <v>25</v>
      </c>
      <c r="D196" s="58">
        <v>2</v>
      </c>
      <c r="E196" s="58">
        <v>0.25</v>
      </c>
      <c r="F196" s="58">
        <v>12.05</v>
      </c>
      <c r="G196" s="58">
        <v>59</v>
      </c>
      <c r="H196" s="58">
        <v>0.04</v>
      </c>
      <c r="I196" s="58">
        <v>0.02</v>
      </c>
      <c r="J196" s="58">
        <v>0</v>
      </c>
      <c r="K196" s="58">
        <v>6</v>
      </c>
      <c r="L196" s="58">
        <v>0.5</v>
      </c>
    </row>
    <row r="197" spans="1:12" ht="92.25" thickBot="1">
      <c r="A197" s="61" t="s">
        <v>45</v>
      </c>
      <c r="B197" s="62" t="s">
        <v>144</v>
      </c>
      <c r="C197" s="55">
        <v>40</v>
      </c>
      <c r="D197" s="58">
        <v>2.24</v>
      </c>
      <c r="E197" s="58">
        <v>0.48</v>
      </c>
      <c r="F197" s="58">
        <v>19.76</v>
      </c>
      <c r="G197" s="58">
        <v>92.8</v>
      </c>
      <c r="H197" s="58">
        <v>0.05</v>
      </c>
      <c r="I197" s="58">
        <v>0.02</v>
      </c>
      <c r="J197" s="58">
        <v>0</v>
      </c>
      <c r="K197" s="58">
        <v>9.6</v>
      </c>
      <c r="L197" s="58">
        <v>1.28</v>
      </c>
    </row>
    <row r="198" spans="1:12" ht="46.5" thickBot="1">
      <c r="A198" s="61"/>
      <c r="B198" s="62" t="s">
        <v>37</v>
      </c>
      <c r="C198" s="64"/>
      <c r="D198" s="58">
        <f>SUM(D190:D197)</f>
        <v>16.36</v>
      </c>
      <c r="E198" s="58">
        <f aca="true" t="shared" si="26" ref="E198:L198">SUM(E190:E197)</f>
        <v>13.420000000000002</v>
      </c>
      <c r="F198" s="58">
        <f t="shared" si="26"/>
        <v>91.47000000000001</v>
      </c>
      <c r="G198" s="58">
        <f t="shared" si="26"/>
        <v>536.88</v>
      </c>
      <c r="H198" s="58">
        <f t="shared" si="26"/>
        <v>0.416</v>
      </c>
      <c r="I198" s="58">
        <f t="shared" si="26"/>
        <v>0.30000000000000004</v>
      </c>
      <c r="J198" s="58">
        <f t="shared" si="26"/>
        <v>30.28</v>
      </c>
      <c r="K198" s="58">
        <f t="shared" si="26"/>
        <v>152.48999999999998</v>
      </c>
      <c r="L198" s="58">
        <f t="shared" si="26"/>
        <v>4.639</v>
      </c>
    </row>
    <row r="199" spans="1:12" ht="46.5" thickBot="1">
      <c r="A199" s="182" t="s">
        <v>207</v>
      </c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50"/>
    </row>
    <row r="200" spans="1:12" ht="92.25" thickBot="1">
      <c r="A200" s="61">
        <v>14</v>
      </c>
      <c r="B200" s="62" t="s">
        <v>224</v>
      </c>
      <c r="C200" s="55">
        <v>150</v>
      </c>
      <c r="D200" s="58">
        <v>4.66</v>
      </c>
      <c r="E200" s="58">
        <v>5.79</v>
      </c>
      <c r="F200" s="58">
        <v>20.78</v>
      </c>
      <c r="G200" s="58">
        <v>150.75</v>
      </c>
      <c r="H200" s="58">
        <v>0.08</v>
      </c>
      <c r="I200" s="58">
        <v>0.08</v>
      </c>
      <c r="J200" s="58">
        <v>1.46</v>
      </c>
      <c r="K200" s="58">
        <v>136.7</v>
      </c>
      <c r="L200" s="58">
        <v>0.38</v>
      </c>
    </row>
    <row r="201" spans="1:12" ht="46.5" thickBot="1">
      <c r="A201" s="121">
        <v>13</v>
      </c>
      <c r="B201" s="54" t="s">
        <v>9</v>
      </c>
      <c r="C201" s="63" t="s">
        <v>173</v>
      </c>
      <c r="D201" s="58">
        <v>0</v>
      </c>
      <c r="E201" s="58">
        <v>0</v>
      </c>
      <c r="F201" s="58">
        <v>8.98</v>
      </c>
      <c r="G201" s="58">
        <v>30</v>
      </c>
      <c r="H201" s="58">
        <v>0</v>
      </c>
      <c r="I201" s="58">
        <v>0</v>
      </c>
      <c r="J201" s="58">
        <v>0</v>
      </c>
      <c r="K201" s="58">
        <v>0.27</v>
      </c>
      <c r="L201" s="58">
        <v>0.05</v>
      </c>
    </row>
    <row r="202" spans="1:12" ht="92.25" thickBot="1">
      <c r="A202" s="61" t="s">
        <v>45</v>
      </c>
      <c r="B202" s="62" t="s">
        <v>114</v>
      </c>
      <c r="C202" s="55">
        <v>20</v>
      </c>
      <c r="D202" s="58">
        <v>1.6</v>
      </c>
      <c r="E202" s="58">
        <v>0.2</v>
      </c>
      <c r="F202" s="58">
        <v>9.64</v>
      </c>
      <c r="G202" s="58">
        <v>47.2</v>
      </c>
      <c r="H202" s="58">
        <v>0.03</v>
      </c>
      <c r="I202" s="58">
        <v>0.01</v>
      </c>
      <c r="J202" s="58">
        <v>0</v>
      </c>
      <c r="K202" s="58">
        <v>4.8</v>
      </c>
      <c r="L202" s="58">
        <v>0.4</v>
      </c>
    </row>
    <row r="203" spans="1:12" ht="46.5" thickBot="1">
      <c r="A203" s="61">
        <v>21</v>
      </c>
      <c r="B203" s="125" t="s">
        <v>38</v>
      </c>
      <c r="C203" s="64" t="s">
        <v>239</v>
      </c>
      <c r="D203" s="56">
        <v>4.06</v>
      </c>
      <c r="E203" s="56">
        <v>4.48</v>
      </c>
      <c r="F203" s="56">
        <v>5.6</v>
      </c>
      <c r="G203" s="56">
        <v>82.6</v>
      </c>
      <c r="H203" s="56">
        <v>0.04</v>
      </c>
      <c r="I203" s="56">
        <v>0.24</v>
      </c>
      <c r="J203" s="56">
        <v>0.98</v>
      </c>
      <c r="K203" s="56">
        <v>168</v>
      </c>
      <c r="L203" s="56">
        <v>0.14</v>
      </c>
    </row>
    <row r="204" spans="1:12" ht="92.25" thickBot="1">
      <c r="A204" s="61">
        <v>72</v>
      </c>
      <c r="B204" s="62" t="s">
        <v>138</v>
      </c>
      <c r="C204" s="64" t="s">
        <v>51</v>
      </c>
      <c r="D204" s="58">
        <v>4.54</v>
      </c>
      <c r="E204" s="58">
        <v>4.07</v>
      </c>
      <c r="F204" s="58">
        <v>25.3</v>
      </c>
      <c r="G204" s="58">
        <v>157.11</v>
      </c>
      <c r="H204" s="58">
        <v>0.09</v>
      </c>
      <c r="I204" s="58">
        <v>0.03</v>
      </c>
      <c r="J204" s="58">
        <v>0.22</v>
      </c>
      <c r="K204" s="58">
        <v>32.56</v>
      </c>
      <c r="L204" s="58">
        <v>0.75</v>
      </c>
    </row>
    <row r="205" spans="1:12" ht="46.5" thickBot="1">
      <c r="A205" s="61"/>
      <c r="B205" s="62" t="s">
        <v>37</v>
      </c>
      <c r="C205" s="64"/>
      <c r="D205" s="58">
        <f>SUM(D200:D204)</f>
        <v>14.86</v>
      </c>
      <c r="E205" s="58">
        <f aca="true" t="shared" si="27" ref="E205:L205">SUM(E200:E204)</f>
        <v>14.540000000000001</v>
      </c>
      <c r="F205" s="58">
        <f t="shared" si="27"/>
        <v>70.30000000000001</v>
      </c>
      <c r="G205" s="58">
        <f t="shared" si="27"/>
        <v>467.65999999999997</v>
      </c>
      <c r="H205" s="58">
        <f t="shared" si="27"/>
        <v>0.24</v>
      </c>
      <c r="I205" s="58">
        <f t="shared" si="27"/>
        <v>0.36</v>
      </c>
      <c r="J205" s="58">
        <f t="shared" si="27"/>
        <v>2.66</v>
      </c>
      <c r="K205" s="58">
        <f t="shared" si="27"/>
        <v>342.33</v>
      </c>
      <c r="L205" s="58">
        <f t="shared" si="27"/>
        <v>1.7200000000000002</v>
      </c>
    </row>
    <row r="206" spans="1:12" ht="53.25" thickBot="1">
      <c r="A206" s="61"/>
      <c r="B206" s="62"/>
      <c r="C206" s="64"/>
      <c r="D206" s="111" t="s">
        <v>1</v>
      </c>
      <c r="E206" s="112" t="s">
        <v>2</v>
      </c>
      <c r="F206" s="112" t="s">
        <v>3</v>
      </c>
      <c r="G206" s="126" t="s">
        <v>4</v>
      </c>
      <c r="H206" s="113" t="s">
        <v>251</v>
      </c>
      <c r="I206" s="113" t="s">
        <v>252</v>
      </c>
      <c r="J206" s="112" t="s">
        <v>6</v>
      </c>
      <c r="K206" s="112" t="s">
        <v>31</v>
      </c>
      <c r="L206" s="112" t="s">
        <v>5</v>
      </c>
    </row>
    <row r="207" spans="1:12" ht="46.5" thickBot="1">
      <c r="A207" s="61"/>
      <c r="B207" s="127" t="s">
        <v>12</v>
      </c>
      <c r="C207" s="64"/>
      <c r="D207" s="58">
        <f>SUM(D184+D188+D198+D205)</f>
        <v>45.9</v>
      </c>
      <c r="E207" s="58">
        <f aca="true" t="shared" si="28" ref="E207:L207">SUM(E184+E188+E198+E205)</f>
        <v>44.910000000000004</v>
      </c>
      <c r="F207" s="58">
        <f t="shared" si="28"/>
        <v>207.09000000000003</v>
      </c>
      <c r="G207" s="58">
        <f t="shared" si="28"/>
        <v>1420.6599999999999</v>
      </c>
      <c r="H207" s="58">
        <f t="shared" si="28"/>
        <v>0.9259999999999999</v>
      </c>
      <c r="I207" s="58">
        <f t="shared" si="28"/>
        <v>0.8500000000000001</v>
      </c>
      <c r="J207" s="58">
        <f t="shared" si="28"/>
        <v>45.099999999999994</v>
      </c>
      <c r="K207" s="58">
        <f t="shared" si="28"/>
        <v>778.5799999999999</v>
      </c>
      <c r="L207" s="58">
        <f t="shared" si="28"/>
        <v>10.249</v>
      </c>
    </row>
    <row r="208" spans="1:12" ht="46.5" thickBot="1">
      <c r="A208" s="61"/>
      <c r="B208" s="127" t="s">
        <v>13</v>
      </c>
      <c r="C208" s="64"/>
      <c r="D208" s="58">
        <v>39.9</v>
      </c>
      <c r="E208" s="58">
        <v>44.65</v>
      </c>
      <c r="F208" s="58">
        <v>192.85</v>
      </c>
      <c r="G208" s="58">
        <v>1330</v>
      </c>
      <c r="H208" s="58">
        <v>0.76</v>
      </c>
      <c r="I208" s="58">
        <v>0.86</v>
      </c>
      <c r="J208" s="58">
        <v>42.75</v>
      </c>
      <c r="K208" s="58">
        <v>760</v>
      </c>
      <c r="L208" s="58">
        <v>9.5</v>
      </c>
    </row>
    <row r="209" spans="1:12" ht="91.5" thickBot="1">
      <c r="A209" s="115"/>
      <c r="B209" s="128" t="s">
        <v>14</v>
      </c>
      <c r="C209" s="112"/>
      <c r="D209" s="129">
        <f aca="true" t="shared" si="29" ref="D209:L209">D207*100/D208</f>
        <v>115.03759398496241</v>
      </c>
      <c r="E209" s="129">
        <f t="shared" si="29"/>
        <v>100.58230683090706</v>
      </c>
      <c r="F209" s="129">
        <f t="shared" si="29"/>
        <v>107.38397718434018</v>
      </c>
      <c r="G209" s="129">
        <f t="shared" si="29"/>
        <v>106.81654135338346</v>
      </c>
      <c r="H209" s="129">
        <f t="shared" si="29"/>
        <v>121.84210526315789</v>
      </c>
      <c r="I209" s="129">
        <f t="shared" si="29"/>
        <v>98.8372093023256</v>
      </c>
      <c r="J209" s="129">
        <f t="shared" si="29"/>
        <v>105.4970760233918</v>
      </c>
      <c r="K209" s="129">
        <f t="shared" si="29"/>
        <v>102.44473684210526</v>
      </c>
      <c r="L209" s="129">
        <f t="shared" si="29"/>
        <v>107.8842105263158</v>
      </c>
    </row>
    <row r="210" spans="1:12" ht="45.75">
      <c r="A210" s="130"/>
      <c r="B210" s="102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1:12" ht="45.75">
      <c r="A211" s="130"/>
      <c r="B211" s="100" t="s">
        <v>182</v>
      </c>
      <c r="C211" s="100"/>
      <c r="E211" s="132"/>
      <c r="F211" s="132"/>
      <c r="G211" s="132"/>
      <c r="H211" s="132"/>
      <c r="I211" s="132"/>
      <c r="J211" s="132"/>
      <c r="K211" s="132"/>
      <c r="L211" s="132"/>
    </row>
    <row r="212" spans="1:12" ht="53.25">
      <c r="A212" s="130"/>
      <c r="B212" s="100" t="s">
        <v>254</v>
      </c>
      <c r="L212" s="132"/>
    </row>
    <row r="213" spans="1:12" ht="45.75">
      <c r="A213" s="130"/>
      <c r="B213" s="100" t="s">
        <v>180</v>
      </c>
      <c r="L213" s="132"/>
    </row>
    <row r="214" spans="1:12" ht="45.75">
      <c r="A214" s="130"/>
      <c r="B214" s="100" t="s">
        <v>181</v>
      </c>
      <c r="L214" s="132"/>
    </row>
    <row r="215" spans="1:12" ht="45.75">
      <c r="A215" s="130"/>
      <c r="K215" s="132"/>
      <c r="L215" s="132"/>
    </row>
    <row r="216" spans="1:12" ht="45.75">
      <c r="A216" s="174" t="s">
        <v>97</v>
      </c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</row>
    <row r="217" spans="1:12" ht="45.75">
      <c r="A217" s="174" t="s">
        <v>106</v>
      </c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</row>
    <row r="218" spans="1:12" ht="45.75" customHeight="1">
      <c r="A218" s="175" t="s">
        <v>260</v>
      </c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</row>
    <row r="219" spans="1:12" ht="46.5" thickBot="1">
      <c r="A219" s="176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</row>
    <row r="220" spans="1:12" ht="46.5" thickBot="1">
      <c r="A220" s="177" t="s">
        <v>39</v>
      </c>
      <c r="B220" s="152" t="s">
        <v>100</v>
      </c>
      <c r="C220" s="104" t="s">
        <v>27</v>
      </c>
      <c r="D220" s="179" t="s">
        <v>28</v>
      </c>
      <c r="E220" s="180"/>
      <c r="F220" s="181"/>
      <c r="G220" s="152" t="s">
        <v>101</v>
      </c>
      <c r="H220" s="179" t="s">
        <v>29</v>
      </c>
      <c r="I220" s="180"/>
      <c r="J220" s="181"/>
      <c r="K220" s="179" t="s">
        <v>30</v>
      </c>
      <c r="L220" s="181"/>
    </row>
    <row r="221" spans="1:12" ht="53.25" thickBot="1">
      <c r="A221" s="178"/>
      <c r="B221" s="103"/>
      <c r="C221" s="105"/>
      <c r="D221" s="111" t="s">
        <v>1</v>
      </c>
      <c r="E221" s="112" t="s">
        <v>2</v>
      </c>
      <c r="F221" s="112" t="s">
        <v>3</v>
      </c>
      <c r="G221" s="103"/>
      <c r="H221" s="113" t="s">
        <v>251</v>
      </c>
      <c r="I221" s="135" t="s">
        <v>252</v>
      </c>
      <c r="J221" s="112" t="s">
        <v>6</v>
      </c>
      <c r="K221" s="112" t="s">
        <v>31</v>
      </c>
      <c r="L221" s="112" t="s">
        <v>5</v>
      </c>
    </row>
    <row r="222" spans="1:12" ht="46.5" thickBot="1">
      <c r="A222" s="110">
        <v>1</v>
      </c>
      <c r="B222" s="116">
        <v>2</v>
      </c>
      <c r="C222" s="117">
        <v>3</v>
      </c>
      <c r="D222" s="136">
        <v>4</v>
      </c>
      <c r="E222" s="116">
        <v>5</v>
      </c>
      <c r="F222" s="116">
        <v>6</v>
      </c>
      <c r="G222" s="116">
        <v>7</v>
      </c>
      <c r="H222" s="137">
        <v>8</v>
      </c>
      <c r="I222" s="116">
        <v>9</v>
      </c>
      <c r="J222" s="116">
        <v>10</v>
      </c>
      <c r="K222" s="137">
        <v>11</v>
      </c>
      <c r="L222" s="116">
        <v>12</v>
      </c>
    </row>
    <row r="223" spans="1:12" ht="46.5" thickBot="1">
      <c r="A223" s="179" t="s">
        <v>7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1"/>
    </row>
    <row r="224" spans="1:12" ht="92.25" thickBot="1">
      <c r="A224" s="121">
        <v>68</v>
      </c>
      <c r="B224" s="124" t="s">
        <v>50</v>
      </c>
      <c r="C224" s="64" t="s">
        <v>34</v>
      </c>
      <c r="D224" s="56">
        <v>4.83</v>
      </c>
      <c r="E224" s="56">
        <v>5.65</v>
      </c>
      <c r="F224" s="56">
        <v>19.04</v>
      </c>
      <c r="G224" s="56">
        <v>144</v>
      </c>
      <c r="H224" s="56">
        <v>0.08</v>
      </c>
      <c r="I224" s="56">
        <v>0.04</v>
      </c>
      <c r="J224" s="56">
        <v>1.46</v>
      </c>
      <c r="K224" s="56">
        <v>139.94</v>
      </c>
      <c r="L224" s="56">
        <v>0.71</v>
      </c>
    </row>
    <row r="225" spans="1:12" ht="46.5" thickBot="1">
      <c r="A225" s="121">
        <v>13</v>
      </c>
      <c r="B225" s="54" t="s">
        <v>9</v>
      </c>
      <c r="C225" s="63" t="s">
        <v>173</v>
      </c>
      <c r="D225" s="58">
        <v>0</v>
      </c>
      <c r="E225" s="58">
        <v>0</v>
      </c>
      <c r="F225" s="58">
        <v>8.98</v>
      </c>
      <c r="G225" s="58">
        <v>30</v>
      </c>
      <c r="H225" s="58">
        <v>0</v>
      </c>
      <c r="I225" s="58">
        <v>0</v>
      </c>
      <c r="J225" s="58">
        <v>0</v>
      </c>
      <c r="K225" s="58">
        <v>0.27</v>
      </c>
      <c r="L225" s="58">
        <v>0.05</v>
      </c>
    </row>
    <row r="226" spans="1:12" ht="46.5" thickBot="1">
      <c r="A226" s="61">
        <v>16</v>
      </c>
      <c r="B226" s="62" t="s">
        <v>54</v>
      </c>
      <c r="C226" s="63" t="s">
        <v>206</v>
      </c>
      <c r="D226" s="58">
        <v>1.54</v>
      </c>
      <c r="E226" s="58">
        <v>3.46</v>
      </c>
      <c r="F226" s="58">
        <v>9.75</v>
      </c>
      <c r="G226" s="58">
        <v>78</v>
      </c>
      <c r="H226" s="58">
        <v>0.02</v>
      </c>
      <c r="I226" s="58">
        <v>0.02</v>
      </c>
      <c r="J226" s="58">
        <v>0</v>
      </c>
      <c r="K226" s="58">
        <v>4.48</v>
      </c>
      <c r="L226" s="58">
        <v>0.23</v>
      </c>
    </row>
    <row r="227" spans="1:12" ht="46.5" thickBot="1">
      <c r="A227" s="61"/>
      <c r="B227" s="62" t="s">
        <v>8</v>
      </c>
      <c r="C227" s="63"/>
      <c r="D227" s="58">
        <f aca="true" t="shared" si="30" ref="D227:L227">SUM(D224:D226)</f>
        <v>6.37</v>
      </c>
      <c r="E227" s="58">
        <f t="shared" si="30"/>
        <v>9.11</v>
      </c>
      <c r="F227" s="58">
        <f t="shared" si="30"/>
        <v>37.769999999999996</v>
      </c>
      <c r="G227" s="58">
        <f t="shared" si="30"/>
        <v>252</v>
      </c>
      <c r="H227" s="58">
        <f t="shared" si="30"/>
        <v>0.1</v>
      </c>
      <c r="I227" s="58">
        <f t="shared" si="30"/>
        <v>0.06</v>
      </c>
      <c r="J227" s="58">
        <f t="shared" si="30"/>
        <v>1.46</v>
      </c>
      <c r="K227" s="58">
        <f t="shared" si="30"/>
        <v>144.69</v>
      </c>
      <c r="L227" s="58">
        <f t="shared" si="30"/>
        <v>0.99</v>
      </c>
    </row>
    <row r="228" spans="1:12" ht="46.5" thickBot="1">
      <c r="A228" s="179" t="s">
        <v>107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1"/>
    </row>
    <row r="229" spans="1:12" ht="46.5" thickBot="1">
      <c r="A229" s="61" t="s">
        <v>45</v>
      </c>
      <c r="B229" s="62" t="s">
        <v>108</v>
      </c>
      <c r="C229" s="63" t="s">
        <v>238</v>
      </c>
      <c r="D229" s="58">
        <v>0.18</v>
      </c>
      <c r="E229" s="58">
        <v>0.09</v>
      </c>
      <c r="F229" s="58">
        <v>9.09</v>
      </c>
      <c r="G229" s="58">
        <v>41.4</v>
      </c>
      <c r="H229" s="58">
        <v>0.01</v>
      </c>
      <c r="I229" s="58">
        <v>0.01</v>
      </c>
      <c r="J229" s="58">
        <v>1.8</v>
      </c>
      <c r="K229" s="58">
        <v>6.3</v>
      </c>
      <c r="L229" s="58">
        <v>0.18</v>
      </c>
    </row>
    <row r="230" spans="1:12" ht="54" thickBot="1">
      <c r="A230" s="61" t="s">
        <v>45</v>
      </c>
      <c r="B230" s="62" t="s">
        <v>256</v>
      </c>
      <c r="C230" s="55">
        <v>100</v>
      </c>
      <c r="D230" s="56">
        <v>0.9</v>
      </c>
      <c r="E230" s="56">
        <v>0.3</v>
      </c>
      <c r="F230" s="56">
        <v>12.6</v>
      </c>
      <c r="G230" s="56">
        <v>57.6</v>
      </c>
      <c r="H230" s="56">
        <v>0.03</v>
      </c>
      <c r="I230" s="56">
        <v>0.04</v>
      </c>
      <c r="J230" s="56">
        <v>6</v>
      </c>
      <c r="K230" s="56">
        <v>4.8</v>
      </c>
      <c r="L230" s="56">
        <v>0.35</v>
      </c>
    </row>
    <row r="231" spans="1:12" ht="46.5" thickBot="1">
      <c r="A231" s="61"/>
      <c r="B231" s="62" t="s">
        <v>8</v>
      </c>
      <c r="C231" s="64"/>
      <c r="D231" s="58">
        <f>SUM(D229:D230)</f>
        <v>1.08</v>
      </c>
      <c r="E231" s="58">
        <f aca="true" t="shared" si="31" ref="E231:L231">SUM(E229:E230)</f>
        <v>0.39</v>
      </c>
      <c r="F231" s="58">
        <f t="shared" si="31"/>
        <v>21.689999999999998</v>
      </c>
      <c r="G231" s="58">
        <f t="shared" si="31"/>
        <v>99</v>
      </c>
      <c r="H231" s="58">
        <f t="shared" si="31"/>
        <v>0.04</v>
      </c>
      <c r="I231" s="58">
        <f t="shared" si="31"/>
        <v>0.05</v>
      </c>
      <c r="J231" s="58">
        <f t="shared" si="31"/>
        <v>7.8</v>
      </c>
      <c r="K231" s="58">
        <f t="shared" si="31"/>
        <v>11.1</v>
      </c>
      <c r="L231" s="58">
        <f t="shared" si="31"/>
        <v>0.53</v>
      </c>
    </row>
    <row r="232" spans="1:12" ht="46.5" thickBot="1">
      <c r="A232" s="179" t="s">
        <v>10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1"/>
    </row>
    <row r="233" spans="1:12" ht="92.25" thickBot="1">
      <c r="A233" s="121">
        <v>4</v>
      </c>
      <c r="B233" s="140" t="s">
        <v>193</v>
      </c>
      <c r="C233" s="63" t="s">
        <v>164</v>
      </c>
      <c r="D233" s="58">
        <v>0.85</v>
      </c>
      <c r="E233" s="58">
        <v>3.42</v>
      </c>
      <c r="F233" s="58">
        <v>3.07</v>
      </c>
      <c r="G233" s="58">
        <v>48</v>
      </c>
      <c r="H233" s="58">
        <v>0.02</v>
      </c>
      <c r="I233" s="58">
        <v>0.04</v>
      </c>
      <c r="J233" s="58">
        <v>3.36</v>
      </c>
      <c r="K233" s="58">
        <v>12.34</v>
      </c>
      <c r="L233" s="58">
        <v>0.46</v>
      </c>
    </row>
    <row r="234" spans="1:13" ht="92.25" thickBot="1">
      <c r="A234" s="61">
        <v>18</v>
      </c>
      <c r="B234" s="62" t="s">
        <v>71</v>
      </c>
      <c r="C234" s="64" t="s">
        <v>172</v>
      </c>
      <c r="D234" s="58">
        <v>3.32</v>
      </c>
      <c r="E234" s="58">
        <v>4.83</v>
      </c>
      <c r="F234" s="58">
        <v>15.74</v>
      </c>
      <c r="G234" s="58">
        <v>115.2</v>
      </c>
      <c r="H234" s="58">
        <v>0.12</v>
      </c>
      <c r="I234" s="58">
        <v>0.03</v>
      </c>
      <c r="J234" s="58">
        <v>6.3</v>
      </c>
      <c r="K234" s="58">
        <v>21.2</v>
      </c>
      <c r="L234" s="58">
        <v>0.97</v>
      </c>
      <c r="M234" s="120"/>
    </row>
    <row r="235" spans="1:13" ht="46.5" thickBot="1">
      <c r="A235" s="61">
        <v>80</v>
      </c>
      <c r="B235" s="62" t="s">
        <v>199</v>
      </c>
      <c r="C235" s="64" t="s">
        <v>147</v>
      </c>
      <c r="D235" s="58">
        <v>6.61</v>
      </c>
      <c r="E235" s="58">
        <v>6.06</v>
      </c>
      <c r="F235" s="58">
        <v>6.52</v>
      </c>
      <c r="G235" s="58">
        <v>108.57</v>
      </c>
      <c r="H235" s="58">
        <v>0.04</v>
      </c>
      <c r="I235" s="58">
        <v>0.03</v>
      </c>
      <c r="J235" s="58">
        <v>0.49</v>
      </c>
      <c r="K235" s="58">
        <v>14.75</v>
      </c>
      <c r="L235" s="58">
        <v>0.51</v>
      </c>
      <c r="M235" s="120"/>
    </row>
    <row r="236" spans="1:13" ht="46.5" thickBot="1">
      <c r="A236" s="61">
        <v>7</v>
      </c>
      <c r="B236" s="62" t="s">
        <v>177</v>
      </c>
      <c r="C236" s="55">
        <v>35</v>
      </c>
      <c r="D236" s="58">
        <v>0.48</v>
      </c>
      <c r="E236" s="58">
        <v>1.37</v>
      </c>
      <c r="F236" s="58">
        <v>2.16</v>
      </c>
      <c r="G236" s="58">
        <v>21.7</v>
      </c>
      <c r="H236" s="58">
        <v>0.006</v>
      </c>
      <c r="I236" s="58">
        <v>0.07</v>
      </c>
      <c r="J236" s="58">
        <v>0</v>
      </c>
      <c r="K236" s="58">
        <v>0</v>
      </c>
      <c r="L236" s="58">
        <v>0.27</v>
      </c>
      <c r="M236" s="120"/>
    </row>
    <row r="237" spans="1:13" ht="92.25" thickBot="1">
      <c r="A237" s="61">
        <v>30</v>
      </c>
      <c r="B237" s="62" t="s">
        <v>136</v>
      </c>
      <c r="C237" s="55">
        <v>100</v>
      </c>
      <c r="D237" s="58">
        <v>3.56</v>
      </c>
      <c r="E237" s="58">
        <v>4.64</v>
      </c>
      <c r="F237" s="58">
        <v>20.97</v>
      </c>
      <c r="G237" s="58">
        <v>135.33</v>
      </c>
      <c r="H237" s="58">
        <v>0.04</v>
      </c>
      <c r="I237" s="58">
        <v>0.01</v>
      </c>
      <c r="J237" s="58">
        <v>3.97</v>
      </c>
      <c r="K237" s="58">
        <v>9.75</v>
      </c>
      <c r="L237" s="58">
        <v>0.05</v>
      </c>
      <c r="M237" s="120"/>
    </row>
    <row r="238" spans="1:12" ht="46.5" thickBot="1">
      <c r="A238" s="61">
        <v>20</v>
      </c>
      <c r="B238" s="62" t="s">
        <v>43</v>
      </c>
      <c r="C238" s="55">
        <v>150</v>
      </c>
      <c r="D238" s="58">
        <v>0</v>
      </c>
      <c r="E238" s="58">
        <v>0</v>
      </c>
      <c r="F238" s="58">
        <v>13.5</v>
      </c>
      <c r="G238" s="58">
        <v>46.5</v>
      </c>
      <c r="H238" s="58">
        <v>0</v>
      </c>
      <c r="I238" s="58">
        <v>0</v>
      </c>
      <c r="J238" s="58">
        <v>0</v>
      </c>
      <c r="K238" s="58">
        <v>0.37</v>
      </c>
      <c r="L238" s="58">
        <v>0.06</v>
      </c>
    </row>
    <row r="239" spans="1:13" ht="92.25" thickBot="1">
      <c r="A239" s="61" t="s">
        <v>45</v>
      </c>
      <c r="B239" s="62" t="s">
        <v>114</v>
      </c>
      <c r="C239" s="55">
        <v>25</v>
      </c>
      <c r="D239" s="58">
        <v>2</v>
      </c>
      <c r="E239" s="58">
        <v>0.25</v>
      </c>
      <c r="F239" s="58">
        <v>12.05</v>
      </c>
      <c r="G239" s="58">
        <v>59</v>
      </c>
      <c r="H239" s="58">
        <v>0.04</v>
      </c>
      <c r="I239" s="58">
        <v>0.02</v>
      </c>
      <c r="J239" s="58">
        <v>0</v>
      </c>
      <c r="K239" s="58">
        <v>6</v>
      </c>
      <c r="L239" s="58">
        <v>0.5</v>
      </c>
      <c r="M239" s="139"/>
    </row>
    <row r="240" spans="1:13" ht="92.25" thickBot="1">
      <c r="A240" s="61" t="s">
        <v>45</v>
      </c>
      <c r="B240" s="62" t="s">
        <v>144</v>
      </c>
      <c r="C240" s="55">
        <v>40</v>
      </c>
      <c r="D240" s="58">
        <v>2.24</v>
      </c>
      <c r="E240" s="58">
        <v>0.48</v>
      </c>
      <c r="F240" s="58">
        <v>19.76</v>
      </c>
      <c r="G240" s="58">
        <v>92.8</v>
      </c>
      <c r="H240" s="58">
        <v>0.05</v>
      </c>
      <c r="I240" s="58">
        <v>0.02</v>
      </c>
      <c r="J240" s="58">
        <v>0</v>
      </c>
      <c r="K240" s="58">
        <v>9.6</v>
      </c>
      <c r="L240" s="58">
        <v>1.28</v>
      </c>
      <c r="M240" s="139"/>
    </row>
    <row r="241" spans="1:12" s="139" customFormat="1" ht="46.5" thickBot="1">
      <c r="A241" s="121"/>
      <c r="B241" s="124" t="s">
        <v>37</v>
      </c>
      <c r="C241" s="55"/>
      <c r="D241" s="56">
        <f aca="true" t="shared" si="32" ref="D241:L241">SUM(D233:D240)</f>
        <v>19.060000000000002</v>
      </c>
      <c r="E241" s="56">
        <f t="shared" si="32"/>
        <v>21.05</v>
      </c>
      <c r="F241" s="56">
        <f t="shared" si="32"/>
        <v>93.77</v>
      </c>
      <c r="G241" s="56">
        <f t="shared" si="32"/>
        <v>627.0999999999999</v>
      </c>
      <c r="H241" s="56">
        <f t="shared" si="32"/>
        <v>0.316</v>
      </c>
      <c r="I241" s="56">
        <f t="shared" si="32"/>
        <v>0.22</v>
      </c>
      <c r="J241" s="56">
        <f t="shared" si="32"/>
        <v>14.120000000000001</v>
      </c>
      <c r="K241" s="56">
        <f t="shared" si="32"/>
        <v>74.00999999999999</v>
      </c>
      <c r="L241" s="56">
        <f t="shared" si="32"/>
        <v>4.1</v>
      </c>
    </row>
    <row r="242" spans="1:12" ht="46.5" thickBot="1">
      <c r="A242" s="182" t="s">
        <v>207</v>
      </c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50"/>
    </row>
    <row r="243" spans="1:12" ht="46.5" thickBot="1">
      <c r="A243" s="61">
        <v>1</v>
      </c>
      <c r="B243" s="124" t="s">
        <v>70</v>
      </c>
      <c r="C243" s="55">
        <v>150</v>
      </c>
      <c r="D243" s="58">
        <v>4.32</v>
      </c>
      <c r="E243" s="58">
        <v>4.97</v>
      </c>
      <c r="F243" s="58">
        <v>13.71</v>
      </c>
      <c r="G243" s="129">
        <v>117</v>
      </c>
      <c r="H243" s="129">
        <v>0.05</v>
      </c>
      <c r="I243" s="129">
        <v>0.07</v>
      </c>
      <c r="J243" s="134">
        <v>0.88</v>
      </c>
      <c r="K243" s="129">
        <v>149.81</v>
      </c>
      <c r="L243" s="129">
        <v>0.17</v>
      </c>
    </row>
    <row r="244" spans="1:12" ht="46.5" thickBot="1">
      <c r="A244" s="61">
        <v>86</v>
      </c>
      <c r="B244" s="62" t="s">
        <v>128</v>
      </c>
      <c r="C244" s="63" t="s">
        <v>175</v>
      </c>
      <c r="D244" s="58">
        <v>1.54</v>
      </c>
      <c r="E244" s="58">
        <v>0.16</v>
      </c>
      <c r="F244" s="58">
        <v>13.16</v>
      </c>
      <c r="G244" s="58">
        <v>61</v>
      </c>
      <c r="H244" s="58">
        <v>0.02</v>
      </c>
      <c r="I244" s="58">
        <v>0</v>
      </c>
      <c r="J244" s="58">
        <v>0.01</v>
      </c>
      <c r="K244" s="58">
        <v>4.6</v>
      </c>
      <c r="L244" s="58">
        <v>0.27</v>
      </c>
    </row>
    <row r="245" spans="1:12" ht="46.5" thickBot="1">
      <c r="A245" s="61">
        <v>15</v>
      </c>
      <c r="B245" s="62" t="s">
        <v>18</v>
      </c>
      <c r="C245" s="55">
        <v>150</v>
      </c>
      <c r="D245" s="58">
        <v>1</v>
      </c>
      <c r="E245" s="58">
        <v>1.08</v>
      </c>
      <c r="F245" s="58">
        <v>10.83</v>
      </c>
      <c r="G245" s="58">
        <v>75</v>
      </c>
      <c r="H245" s="123">
        <v>0.03</v>
      </c>
      <c r="I245" s="123">
        <v>0.03</v>
      </c>
      <c r="J245" s="123">
        <v>0.83</v>
      </c>
      <c r="K245" s="58">
        <v>91.48</v>
      </c>
      <c r="L245" s="58">
        <v>0.02</v>
      </c>
    </row>
    <row r="246" spans="1:12" ht="46.5" thickBot="1">
      <c r="A246" s="61">
        <v>21</v>
      </c>
      <c r="B246" s="125" t="s">
        <v>38</v>
      </c>
      <c r="C246" s="64" t="s">
        <v>239</v>
      </c>
      <c r="D246" s="56">
        <v>4.06</v>
      </c>
      <c r="E246" s="56">
        <v>4.48</v>
      </c>
      <c r="F246" s="56">
        <v>5.6</v>
      </c>
      <c r="G246" s="56">
        <v>82.6</v>
      </c>
      <c r="H246" s="56">
        <v>0.04</v>
      </c>
      <c r="I246" s="56">
        <v>0.24</v>
      </c>
      <c r="J246" s="56">
        <v>0.98</v>
      </c>
      <c r="K246" s="56">
        <v>168</v>
      </c>
      <c r="L246" s="56">
        <v>0.14</v>
      </c>
    </row>
    <row r="247" spans="1:12" ht="46.5" thickBot="1">
      <c r="A247" s="61">
        <v>78</v>
      </c>
      <c r="B247" s="62" t="s">
        <v>187</v>
      </c>
      <c r="C247" s="64" t="s">
        <v>147</v>
      </c>
      <c r="D247" s="58">
        <v>3.61</v>
      </c>
      <c r="E247" s="58">
        <v>6.88</v>
      </c>
      <c r="F247" s="58">
        <v>23.94</v>
      </c>
      <c r="G247" s="58">
        <v>129.58</v>
      </c>
      <c r="H247" s="58">
        <v>0.07</v>
      </c>
      <c r="I247" s="58">
        <v>0.03</v>
      </c>
      <c r="J247" s="58">
        <v>0.19</v>
      </c>
      <c r="K247" s="58">
        <v>21.97</v>
      </c>
      <c r="L247" s="58">
        <v>0.32</v>
      </c>
    </row>
    <row r="248" spans="1:12" ht="46.5" thickBot="1">
      <c r="A248" s="115"/>
      <c r="B248" s="62" t="s">
        <v>8</v>
      </c>
      <c r="C248" s="64"/>
      <c r="D248" s="58">
        <f>SUM(D243:D247)</f>
        <v>14.53</v>
      </c>
      <c r="E248" s="58">
        <f aca="true" t="shared" si="33" ref="E248:L248">SUM(E243:E247)</f>
        <v>17.57</v>
      </c>
      <c r="F248" s="58">
        <f t="shared" si="33"/>
        <v>67.24000000000001</v>
      </c>
      <c r="G248" s="58">
        <f t="shared" si="33"/>
        <v>465.18000000000006</v>
      </c>
      <c r="H248" s="58">
        <f t="shared" si="33"/>
        <v>0.21000000000000002</v>
      </c>
      <c r="I248" s="58">
        <f t="shared" si="33"/>
        <v>0.37</v>
      </c>
      <c r="J248" s="58">
        <f t="shared" si="33"/>
        <v>2.89</v>
      </c>
      <c r="K248" s="58">
        <f t="shared" si="33"/>
        <v>435.86</v>
      </c>
      <c r="L248" s="58">
        <f t="shared" si="33"/>
        <v>0.9200000000000002</v>
      </c>
    </row>
    <row r="249" spans="1:12" ht="53.25" thickBot="1">
      <c r="A249" s="61"/>
      <c r="B249" s="62"/>
      <c r="C249" s="64"/>
      <c r="D249" s="111" t="s">
        <v>1</v>
      </c>
      <c r="E249" s="112" t="s">
        <v>2</v>
      </c>
      <c r="F249" s="112" t="s">
        <v>3</v>
      </c>
      <c r="G249" s="126" t="s">
        <v>4</v>
      </c>
      <c r="H249" s="113" t="s">
        <v>251</v>
      </c>
      <c r="I249" s="113" t="s">
        <v>252</v>
      </c>
      <c r="J249" s="112" t="s">
        <v>6</v>
      </c>
      <c r="K249" s="112" t="s">
        <v>31</v>
      </c>
      <c r="L249" s="112" t="s">
        <v>5</v>
      </c>
    </row>
    <row r="250" spans="1:12" ht="46.5" thickBot="1">
      <c r="A250" s="61"/>
      <c r="B250" s="127" t="s">
        <v>12</v>
      </c>
      <c r="C250" s="64"/>
      <c r="D250" s="58">
        <f aca="true" t="shared" si="34" ref="D250:L250">SUM(D227+D231+D241+D248)</f>
        <v>41.04</v>
      </c>
      <c r="E250" s="58">
        <f t="shared" si="34"/>
        <v>48.120000000000005</v>
      </c>
      <c r="F250" s="58">
        <f t="shared" si="34"/>
        <v>220.47</v>
      </c>
      <c r="G250" s="58">
        <f t="shared" si="34"/>
        <v>1443.28</v>
      </c>
      <c r="H250" s="58">
        <f t="shared" si="34"/>
        <v>0.666</v>
      </c>
      <c r="I250" s="58">
        <f t="shared" si="34"/>
        <v>0.7</v>
      </c>
      <c r="J250" s="58">
        <f t="shared" si="34"/>
        <v>26.270000000000003</v>
      </c>
      <c r="K250" s="58">
        <f t="shared" si="34"/>
        <v>665.66</v>
      </c>
      <c r="L250" s="58">
        <f t="shared" si="34"/>
        <v>6.539999999999999</v>
      </c>
    </row>
    <row r="251" spans="1:12" ht="46.5" thickBot="1">
      <c r="A251" s="61"/>
      <c r="B251" s="127" t="s">
        <v>13</v>
      </c>
      <c r="C251" s="64"/>
      <c r="D251" s="58">
        <v>39.9</v>
      </c>
      <c r="E251" s="58">
        <v>44.65</v>
      </c>
      <c r="F251" s="58">
        <v>192.85</v>
      </c>
      <c r="G251" s="58">
        <v>1330</v>
      </c>
      <c r="H251" s="58">
        <v>0.76</v>
      </c>
      <c r="I251" s="58">
        <v>0.86</v>
      </c>
      <c r="J251" s="58">
        <v>42.75</v>
      </c>
      <c r="K251" s="58">
        <v>760</v>
      </c>
      <c r="L251" s="58">
        <v>9.5</v>
      </c>
    </row>
    <row r="252" spans="1:12" ht="91.5" thickBot="1">
      <c r="A252" s="115"/>
      <c r="B252" s="128" t="s">
        <v>14</v>
      </c>
      <c r="C252" s="112"/>
      <c r="D252" s="129">
        <f aca="true" t="shared" si="35" ref="D252:L252">D250*100/D251</f>
        <v>102.85714285714286</v>
      </c>
      <c r="E252" s="129">
        <f t="shared" si="35"/>
        <v>107.77155655095186</v>
      </c>
      <c r="F252" s="129">
        <f t="shared" si="35"/>
        <v>114.32201192636765</v>
      </c>
      <c r="G252" s="129">
        <f t="shared" si="35"/>
        <v>108.51729323308271</v>
      </c>
      <c r="H252" s="129">
        <f t="shared" si="35"/>
        <v>87.63157894736842</v>
      </c>
      <c r="I252" s="129">
        <f t="shared" si="35"/>
        <v>81.3953488372093</v>
      </c>
      <c r="J252" s="129">
        <f t="shared" si="35"/>
        <v>61.45029239766083</v>
      </c>
      <c r="K252" s="129">
        <f t="shared" si="35"/>
        <v>87.58684210526316</v>
      </c>
      <c r="L252" s="129">
        <f t="shared" si="35"/>
        <v>68.84210526315788</v>
      </c>
    </row>
    <row r="253" spans="1:12" ht="45.75">
      <c r="A253" s="130"/>
      <c r="B253" s="102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</row>
    <row r="254" spans="1:12" ht="45.75">
      <c r="A254" s="130"/>
      <c r="B254" s="100" t="s">
        <v>182</v>
      </c>
      <c r="C254" s="100"/>
      <c r="E254" s="132"/>
      <c r="F254" s="132"/>
      <c r="G254" s="132"/>
      <c r="H254" s="132"/>
      <c r="I254" s="132"/>
      <c r="J254" s="132"/>
      <c r="K254" s="132"/>
      <c r="L254" s="132"/>
    </row>
    <row r="255" spans="1:12" ht="53.25">
      <c r="A255" s="130"/>
      <c r="B255" s="100" t="s">
        <v>254</v>
      </c>
      <c r="L255" s="132"/>
    </row>
    <row r="256" spans="1:12" ht="45.75">
      <c r="A256" s="130"/>
      <c r="B256" s="100" t="s">
        <v>180</v>
      </c>
      <c r="L256" s="132"/>
    </row>
    <row r="257" spans="1:12" ht="45.75">
      <c r="A257" s="130"/>
      <c r="B257" s="100" t="s">
        <v>181</v>
      </c>
      <c r="L257" s="132"/>
    </row>
    <row r="258" spans="1:12" ht="45.75">
      <c r="A258" s="130"/>
      <c r="K258" s="132"/>
      <c r="L258" s="132"/>
    </row>
    <row r="259" spans="1:12" ht="45.75">
      <c r="A259" s="174" t="s">
        <v>102</v>
      </c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</row>
    <row r="260" spans="1:12" ht="45.75">
      <c r="A260" s="174" t="s">
        <v>106</v>
      </c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</row>
    <row r="261" spans="1:12" ht="45.75" customHeight="1">
      <c r="A261" s="175" t="s">
        <v>260</v>
      </c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</row>
    <row r="262" spans="1:12" ht="46.5" thickBot="1">
      <c r="A262" s="176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</row>
    <row r="263" spans="1:12" ht="46.5" thickBot="1">
      <c r="A263" s="177" t="s">
        <v>39</v>
      </c>
      <c r="B263" s="152" t="s">
        <v>100</v>
      </c>
      <c r="C263" s="104" t="s">
        <v>27</v>
      </c>
      <c r="D263" s="179" t="s">
        <v>28</v>
      </c>
      <c r="E263" s="180"/>
      <c r="F263" s="181"/>
      <c r="G263" s="152" t="s">
        <v>101</v>
      </c>
      <c r="H263" s="179" t="s">
        <v>29</v>
      </c>
      <c r="I263" s="180"/>
      <c r="J263" s="181"/>
      <c r="K263" s="179" t="s">
        <v>30</v>
      </c>
      <c r="L263" s="181"/>
    </row>
    <row r="264" spans="1:12" ht="53.25" thickBot="1">
      <c r="A264" s="178"/>
      <c r="B264" s="103"/>
      <c r="C264" s="105"/>
      <c r="D264" s="111" t="s">
        <v>1</v>
      </c>
      <c r="E264" s="112" t="s">
        <v>2</v>
      </c>
      <c r="F264" s="112" t="s">
        <v>3</v>
      </c>
      <c r="G264" s="103"/>
      <c r="H264" s="113" t="s">
        <v>251</v>
      </c>
      <c r="I264" s="135" t="s">
        <v>252</v>
      </c>
      <c r="J264" s="112" t="s">
        <v>6</v>
      </c>
      <c r="K264" s="112" t="s">
        <v>31</v>
      </c>
      <c r="L264" s="112" t="s">
        <v>5</v>
      </c>
    </row>
    <row r="265" spans="1:12" ht="46.5" thickBot="1">
      <c r="A265" s="110">
        <v>1</v>
      </c>
      <c r="B265" s="116">
        <v>2</v>
      </c>
      <c r="C265" s="117">
        <v>3</v>
      </c>
      <c r="D265" s="136">
        <v>4</v>
      </c>
      <c r="E265" s="116">
        <v>5</v>
      </c>
      <c r="F265" s="116">
        <v>6</v>
      </c>
      <c r="G265" s="116">
        <v>7</v>
      </c>
      <c r="H265" s="137">
        <v>8</v>
      </c>
      <c r="I265" s="116">
        <v>9</v>
      </c>
      <c r="J265" s="116">
        <v>10</v>
      </c>
      <c r="K265" s="137">
        <v>11</v>
      </c>
      <c r="L265" s="116">
        <v>12</v>
      </c>
    </row>
    <row r="266" spans="1:12" ht="46.5" thickBot="1">
      <c r="A266" s="179" t="s">
        <v>7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1"/>
    </row>
    <row r="267" spans="1:12" ht="92.25" thickBot="1">
      <c r="A267" s="121">
        <v>50.14</v>
      </c>
      <c r="B267" s="124" t="s">
        <v>221</v>
      </c>
      <c r="C267" s="55">
        <v>150</v>
      </c>
      <c r="D267" s="56">
        <v>4.16</v>
      </c>
      <c r="E267" s="56">
        <v>5.6</v>
      </c>
      <c r="F267" s="56">
        <v>19.56</v>
      </c>
      <c r="G267" s="56">
        <v>144</v>
      </c>
      <c r="H267" s="56">
        <v>0.05</v>
      </c>
      <c r="I267" s="56">
        <v>0.03</v>
      </c>
      <c r="J267" s="56">
        <v>1.46</v>
      </c>
      <c r="K267" s="56">
        <v>135.18</v>
      </c>
      <c r="L267" s="56">
        <v>0.23</v>
      </c>
    </row>
    <row r="268" spans="1:12" ht="92.25" thickBot="1">
      <c r="A268" s="61">
        <v>103</v>
      </c>
      <c r="B268" s="62" t="s">
        <v>237</v>
      </c>
      <c r="C268" s="55">
        <v>150</v>
      </c>
      <c r="D268" s="56">
        <v>1.7</v>
      </c>
      <c r="E268" s="56">
        <v>1.92</v>
      </c>
      <c r="F268" s="56">
        <v>14.2</v>
      </c>
      <c r="G268" s="56">
        <v>85</v>
      </c>
      <c r="H268" s="56">
        <v>0.02</v>
      </c>
      <c r="I268" s="56">
        <v>0.02</v>
      </c>
      <c r="J268" s="56">
        <v>0.35</v>
      </c>
      <c r="K268" s="56">
        <v>107.5</v>
      </c>
      <c r="L268" s="56">
        <v>0.08</v>
      </c>
    </row>
    <row r="269" spans="1:12" ht="92.25" thickBot="1">
      <c r="A269" s="61">
        <v>3</v>
      </c>
      <c r="B269" s="62" t="s">
        <v>58</v>
      </c>
      <c r="C269" s="64" t="s">
        <v>231</v>
      </c>
      <c r="D269" s="58">
        <v>3.61</v>
      </c>
      <c r="E269" s="58">
        <v>5.4</v>
      </c>
      <c r="F269" s="58">
        <v>9.75</v>
      </c>
      <c r="G269" s="58">
        <v>106</v>
      </c>
      <c r="H269" s="58">
        <v>0.02</v>
      </c>
      <c r="I269" s="58">
        <v>0.01</v>
      </c>
      <c r="J269" s="58">
        <v>0.14</v>
      </c>
      <c r="K269" s="58">
        <v>94.48</v>
      </c>
      <c r="L269" s="58">
        <v>0.33</v>
      </c>
    </row>
    <row r="270" spans="1:12" ht="46.5" thickBot="1">
      <c r="A270" s="61"/>
      <c r="B270" s="62" t="s">
        <v>8</v>
      </c>
      <c r="C270" s="64"/>
      <c r="D270" s="58">
        <f>SUM(D267:D269)</f>
        <v>9.47</v>
      </c>
      <c r="E270" s="58">
        <f aca="true" t="shared" si="36" ref="E270:L270">SUM(E267+E268+E269)</f>
        <v>12.92</v>
      </c>
      <c r="F270" s="58">
        <f t="shared" si="36"/>
        <v>43.51</v>
      </c>
      <c r="G270" s="58">
        <f t="shared" si="36"/>
        <v>335</v>
      </c>
      <c r="H270" s="58">
        <f t="shared" si="36"/>
        <v>0.09000000000000001</v>
      </c>
      <c r="I270" s="58">
        <f t="shared" si="36"/>
        <v>0.060000000000000005</v>
      </c>
      <c r="J270" s="58">
        <f t="shared" si="36"/>
        <v>1.9500000000000002</v>
      </c>
      <c r="K270" s="58">
        <f t="shared" si="36"/>
        <v>337.16</v>
      </c>
      <c r="L270" s="58">
        <f t="shared" si="36"/>
        <v>0.64</v>
      </c>
    </row>
    <row r="271" spans="1:12" ht="46.5" thickBot="1">
      <c r="A271" s="179" t="s">
        <v>107</v>
      </c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1"/>
    </row>
    <row r="272" spans="1:12" ht="46.5" thickBot="1">
      <c r="A272" s="61" t="s">
        <v>45</v>
      </c>
      <c r="B272" s="62" t="s">
        <v>108</v>
      </c>
      <c r="C272" s="63" t="s">
        <v>238</v>
      </c>
      <c r="D272" s="58">
        <v>0.18</v>
      </c>
      <c r="E272" s="58">
        <v>0.09</v>
      </c>
      <c r="F272" s="58">
        <v>9.09</v>
      </c>
      <c r="G272" s="58">
        <v>41.4</v>
      </c>
      <c r="H272" s="58">
        <v>0.01</v>
      </c>
      <c r="I272" s="58">
        <v>0.01</v>
      </c>
      <c r="J272" s="58">
        <v>1.8</v>
      </c>
      <c r="K272" s="58">
        <v>6.3</v>
      </c>
      <c r="L272" s="58">
        <v>0.18</v>
      </c>
    </row>
    <row r="273" spans="1:12" ht="54" thickBot="1">
      <c r="A273" s="61" t="s">
        <v>45</v>
      </c>
      <c r="B273" s="62" t="s">
        <v>253</v>
      </c>
      <c r="C273" s="64" t="s">
        <v>33</v>
      </c>
      <c r="D273" s="58">
        <v>0.35</v>
      </c>
      <c r="E273" s="58">
        <v>0.35</v>
      </c>
      <c r="F273" s="58">
        <v>8.63</v>
      </c>
      <c r="G273" s="58">
        <v>41.35</v>
      </c>
      <c r="H273" s="58">
        <v>0.04</v>
      </c>
      <c r="I273" s="58">
        <v>0.03</v>
      </c>
      <c r="J273" s="58">
        <v>8.8</v>
      </c>
      <c r="K273" s="58">
        <v>14.09</v>
      </c>
      <c r="L273" s="58">
        <v>1.94</v>
      </c>
    </row>
    <row r="274" spans="1:12" ht="46.5" thickBot="1">
      <c r="A274" s="61"/>
      <c r="B274" s="62" t="s">
        <v>8</v>
      </c>
      <c r="C274" s="64"/>
      <c r="D274" s="58">
        <f>SUM(D272:D273)</f>
        <v>0.53</v>
      </c>
      <c r="E274" s="58">
        <f aca="true" t="shared" si="37" ref="E274:L274">SUM(E272:E273)</f>
        <v>0.43999999999999995</v>
      </c>
      <c r="F274" s="58">
        <f t="shared" si="37"/>
        <v>17.72</v>
      </c>
      <c r="G274" s="58">
        <f t="shared" si="37"/>
        <v>82.75</v>
      </c>
      <c r="H274" s="58">
        <f t="shared" si="37"/>
        <v>0.05</v>
      </c>
      <c r="I274" s="58">
        <f t="shared" si="37"/>
        <v>0.04</v>
      </c>
      <c r="J274" s="58">
        <f t="shared" si="37"/>
        <v>10.600000000000001</v>
      </c>
      <c r="K274" s="58">
        <f t="shared" si="37"/>
        <v>20.39</v>
      </c>
      <c r="L274" s="58">
        <f t="shared" si="37"/>
        <v>2.12</v>
      </c>
    </row>
    <row r="275" spans="1:12" ht="46.5" thickBot="1">
      <c r="A275" s="179" t="s">
        <v>10</v>
      </c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1"/>
    </row>
    <row r="276" spans="1:12" ht="46.5" thickBot="1">
      <c r="A276" s="61">
        <v>33</v>
      </c>
      <c r="B276" s="62" t="s">
        <v>67</v>
      </c>
      <c r="C276" s="63" t="s">
        <v>164</v>
      </c>
      <c r="D276" s="58">
        <v>3.98</v>
      </c>
      <c r="E276" s="58">
        <v>4.88</v>
      </c>
      <c r="F276" s="58">
        <v>0.68</v>
      </c>
      <c r="G276" s="58">
        <v>87</v>
      </c>
      <c r="H276" s="58">
        <v>0.01</v>
      </c>
      <c r="I276" s="58">
        <v>0.04</v>
      </c>
      <c r="J276" s="58">
        <v>0.75</v>
      </c>
      <c r="K276" s="58">
        <v>29.93</v>
      </c>
      <c r="L276" s="58">
        <v>0.44</v>
      </c>
    </row>
    <row r="277" spans="1:12" ht="92.25" thickBot="1">
      <c r="A277" s="61">
        <v>70</v>
      </c>
      <c r="B277" s="62" t="s">
        <v>68</v>
      </c>
      <c r="C277" s="64" t="s">
        <v>165</v>
      </c>
      <c r="D277" s="58">
        <v>3.38</v>
      </c>
      <c r="E277" s="58">
        <v>5.2</v>
      </c>
      <c r="F277" s="58">
        <v>11.03</v>
      </c>
      <c r="G277" s="58">
        <v>116.11</v>
      </c>
      <c r="H277" s="58">
        <v>0.07</v>
      </c>
      <c r="I277" s="58">
        <v>0.05</v>
      </c>
      <c r="J277" s="58">
        <v>7.97</v>
      </c>
      <c r="K277" s="58">
        <v>38.04</v>
      </c>
      <c r="L277" s="58">
        <v>1.31</v>
      </c>
    </row>
    <row r="278" spans="1:12" ht="46.5" thickBot="1">
      <c r="A278" s="61">
        <v>64</v>
      </c>
      <c r="B278" s="62" t="s">
        <v>57</v>
      </c>
      <c r="C278" s="55">
        <v>50</v>
      </c>
      <c r="D278" s="58">
        <v>6.41</v>
      </c>
      <c r="E278" s="58">
        <v>6.78</v>
      </c>
      <c r="F278" s="58">
        <v>5.22</v>
      </c>
      <c r="G278" s="58">
        <v>107.5</v>
      </c>
      <c r="H278" s="58">
        <v>0.03</v>
      </c>
      <c r="I278" s="58">
        <v>0.03</v>
      </c>
      <c r="J278" s="58">
        <v>0.56</v>
      </c>
      <c r="K278" s="58">
        <v>3.28</v>
      </c>
      <c r="L278" s="58">
        <v>0.16</v>
      </c>
    </row>
    <row r="279" spans="1:12" ht="46.5" thickBot="1">
      <c r="A279" s="61">
        <v>7</v>
      </c>
      <c r="B279" s="62" t="s">
        <v>177</v>
      </c>
      <c r="C279" s="55">
        <v>35</v>
      </c>
      <c r="D279" s="58">
        <v>0.48</v>
      </c>
      <c r="E279" s="58">
        <v>1.37</v>
      </c>
      <c r="F279" s="58">
        <v>2.16</v>
      </c>
      <c r="G279" s="58">
        <v>21.7</v>
      </c>
      <c r="H279" s="58">
        <v>0.006</v>
      </c>
      <c r="I279" s="58">
        <v>0.07</v>
      </c>
      <c r="J279" s="58">
        <v>0</v>
      </c>
      <c r="K279" s="58">
        <v>0</v>
      </c>
      <c r="L279" s="58">
        <v>0.27</v>
      </c>
    </row>
    <row r="280" spans="1:12" ht="46.5" thickBot="1">
      <c r="A280" s="61">
        <v>90</v>
      </c>
      <c r="B280" s="62" t="s">
        <v>197</v>
      </c>
      <c r="C280" s="55">
        <v>150</v>
      </c>
      <c r="D280" s="58">
        <v>2.23</v>
      </c>
      <c r="E280" s="58">
        <v>4.04</v>
      </c>
      <c r="F280" s="58">
        <v>10.16</v>
      </c>
      <c r="G280" s="58">
        <v>86.67</v>
      </c>
      <c r="H280" s="58">
        <v>0.05</v>
      </c>
      <c r="I280" s="58">
        <v>0.04</v>
      </c>
      <c r="J280" s="58">
        <v>14.33</v>
      </c>
      <c r="K280" s="58">
        <v>50.12</v>
      </c>
      <c r="L280" s="58">
        <v>0.83</v>
      </c>
    </row>
    <row r="281" spans="1:12" ht="46.5" thickBot="1">
      <c r="A281" s="61">
        <v>9</v>
      </c>
      <c r="B281" s="62" t="s">
        <v>74</v>
      </c>
      <c r="C281" s="55">
        <v>180</v>
      </c>
      <c r="D281" s="58">
        <v>0.43</v>
      </c>
      <c r="E281" s="58">
        <v>0</v>
      </c>
      <c r="F281" s="58">
        <v>21.42</v>
      </c>
      <c r="G281" s="58">
        <v>81</v>
      </c>
      <c r="H281" s="58">
        <v>0</v>
      </c>
      <c r="I281" s="58">
        <v>0</v>
      </c>
      <c r="J281" s="58">
        <v>0.36</v>
      </c>
      <c r="K281" s="58">
        <v>44.23</v>
      </c>
      <c r="L281" s="58">
        <v>0.009</v>
      </c>
    </row>
    <row r="282" spans="1:12" ht="92.25" thickBot="1">
      <c r="A282" s="61" t="s">
        <v>45</v>
      </c>
      <c r="B282" s="62" t="s">
        <v>114</v>
      </c>
      <c r="C282" s="55">
        <v>25</v>
      </c>
      <c r="D282" s="58">
        <v>2</v>
      </c>
      <c r="E282" s="58">
        <v>0.25</v>
      </c>
      <c r="F282" s="58">
        <v>12.05</v>
      </c>
      <c r="G282" s="58">
        <v>59</v>
      </c>
      <c r="H282" s="58">
        <v>0.04</v>
      </c>
      <c r="I282" s="58">
        <v>0.02</v>
      </c>
      <c r="J282" s="58">
        <v>0</v>
      </c>
      <c r="K282" s="58">
        <v>6</v>
      </c>
      <c r="L282" s="58">
        <v>0.5</v>
      </c>
    </row>
    <row r="283" spans="1:12" ht="92.25" thickBot="1">
      <c r="A283" s="61" t="s">
        <v>45</v>
      </c>
      <c r="B283" s="62" t="s">
        <v>144</v>
      </c>
      <c r="C283" s="55">
        <v>40</v>
      </c>
      <c r="D283" s="58">
        <v>2.24</v>
      </c>
      <c r="E283" s="58">
        <v>0.48</v>
      </c>
      <c r="F283" s="58">
        <v>19.76</v>
      </c>
      <c r="G283" s="58">
        <v>92.8</v>
      </c>
      <c r="H283" s="58">
        <v>0.05</v>
      </c>
      <c r="I283" s="58">
        <v>0.02</v>
      </c>
      <c r="J283" s="58">
        <v>0</v>
      </c>
      <c r="K283" s="58">
        <v>9.6</v>
      </c>
      <c r="L283" s="58">
        <v>1.28</v>
      </c>
    </row>
    <row r="284" spans="1:12" ht="46.5" thickBot="1">
      <c r="A284" s="121"/>
      <c r="B284" s="124" t="s">
        <v>37</v>
      </c>
      <c r="C284" s="55"/>
      <c r="D284" s="56">
        <f aca="true" t="shared" si="38" ref="D284:L284">SUM(D276:D283)</f>
        <v>21.15</v>
      </c>
      <c r="E284" s="56">
        <f t="shared" si="38"/>
        <v>23</v>
      </c>
      <c r="F284" s="56">
        <f t="shared" si="38"/>
        <v>82.48</v>
      </c>
      <c r="G284" s="56">
        <f t="shared" si="38"/>
        <v>651.78</v>
      </c>
      <c r="H284" s="56">
        <f t="shared" si="38"/>
        <v>0.256</v>
      </c>
      <c r="I284" s="56">
        <f t="shared" si="38"/>
        <v>0.27</v>
      </c>
      <c r="J284" s="56">
        <f t="shared" si="38"/>
        <v>23.97</v>
      </c>
      <c r="K284" s="56">
        <f t="shared" si="38"/>
        <v>181.2</v>
      </c>
      <c r="L284" s="56">
        <f t="shared" si="38"/>
        <v>4.7989999999999995</v>
      </c>
    </row>
    <row r="285" spans="1:12" ht="46.5" thickBot="1">
      <c r="A285" s="182" t="s">
        <v>207</v>
      </c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50"/>
    </row>
    <row r="286" spans="1:12" ht="92.25" thickBot="1">
      <c r="A286" s="121">
        <v>55</v>
      </c>
      <c r="B286" s="62" t="s">
        <v>131</v>
      </c>
      <c r="C286" s="64" t="s">
        <v>214</v>
      </c>
      <c r="D286" s="58">
        <v>6.34</v>
      </c>
      <c r="E286" s="58">
        <v>7.2</v>
      </c>
      <c r="F286" s="58">
        <v>22.68</v>
      </c>
      <c r="G286" s="58">
        <v>281.1</v>
      </c>
      <c r="H286" s="58">
        <v>0.07</v>
      </c>
      <c r="I286" s="58">
        <v>0.22</v>
      </c>
      <c r="J286" s="58">
        <v>0.31</v>
      </c>
      <c r="K286" s="58">
        <v>182.53</v>
      </c>
      <c r="L286" s="58">
        <v>0.82</v>
      </c>
    </row>
    <row r="287" spans="1:12" ht="46.5" thickBot="1">
      <c r="A287" s="121">
        <v>13</v>
      </c>
      <c r="B287" s="54" t="s">
        <v>9</v>
      </c>
      <c r="C287" s="63" t="s">
        <v>173</v>
      </c>
      <c r="D287" s="58">
        <v>0</v>
      </c>
      <c r="E287" s="58">
        <v>0</v>
      </c>
      <c r="F287" s="58">
        <v>8.98</v>
      </c>
      <c r="G287" s="58">
        <v>30</v>
      </c>
      <c r="H287" s="58">
        <v>0</v>
      </c>
      <c r="I287" s="58">
        <v>0</v>
      </c>
      <c r="J287" s="58">
        <v>0</v>
      </c>
      <c r="K287" s="58">
        <v>0.27</v>
      </c>
      <c r="L287" s="58">
        <v>0.05</v>
      </c>
    </row>
    <row r="288" spans="1:12" ht="46.5" thickBot="1">
      <c r="A288" s="61">
        <v>21</v>
      </c>
      <c r="B288" s="125" t="s">
        <v>38</v>
      </c>
      <c r="C288" s="64" t="s">
        <v>239</v>
      </c>
      <c r="D288" s="56">
        <v>4.06</v>
      </c>
      <c r="E288" s="56">
        <v>4.48</v>
      </c>
      <c r="F288" s="56">
        <v>5.6</v>
      </c>
      <c r="G288" s="56">
        <v>82.6</v>
      </c>
      <c r="H288" s="56">
        <v>0.04</v>
      </c>
      <c r="I288" s="56">
        <v>0.24</v>
      </c>
      <c r="J288" s="56">
        <v>0.98</v>
      </c>
      <c r="K288" s="56">
        <v>168</v>
      </c>
      <c r="L288" s="56">
        <v>0.14</v>
      </c>
    </row>
    <row r="289" spans="1:12" ht="275.25" thickBot="1">
      <c r="A289" s="61" t="s">
        <v>45</v>
      </c>
      <c r="B289" s="62" t="s">
        <v>134</v>
      </c>
      <c r="C289" s="64" t="s">
        <v>240</v>
      </c>
      <c r="D289" s="58">
        <v>0.36</v>
      </c>
      <c r="E289" s="58">
        <v>0.48</v>
      </c>
      <c r="F289" s="58">
        <v>8.4</v>
      </c>
      <c r="G289" s="58">
        <v>34.8</v>
      </c>
      <c r="H289" s="58">
        <v>0.01</v>
      </c>
      <c r="I289" s="58">
        <v>0.01</v>
      </c>
      <c r="J289" s="58">
        <v>0</v>
      </c>
      <c r="K289" s="58">
        <v>1.44</v>
      </c>
      <c r="L289" s="58">
        <v>0.1</v>
      </c>
    </row>
    <row r="290" spans="1:12" ht="46.5" thickBot="1">
      <c r="A290" s="115"/>
      <c r="B290" s="62" t="s">
        <v>8</v>
      </c>
      <c r="C290" s="64"/>
      <c r="D290" s="58">
        <f>SUM(D286:D289)</f>
        <v>10.759999999999998</v>
      </c>
      <c r="E290" s="58">
        <f aca="true" t="shared" si="39" ref="E290:L290">SUM(E286:E289)</f>
        <v>12.16</v>
      </c>
      <c r="F290" s="58">
        <f t="shared" si="39"/>
        <v>45.66</v>
      </c>
      <c r="G290" s="58">
        <f t="shared" si="39"/>
        <v>428.50000000000006</v>
      </c>
      <c r="H290" s="58">
        <f t="shared" si="39"/>
        <v>0.12000000000000001</v>
      </c>
      <c r="I290" s="58">
        <f t="shared" si="39"/>
        <v>0.47</v>
      </c>
      <c r="J290" s="58">
        <f t="shared" si="39"/>
        <v>1.29</v>
      </c>
      <c r="K290" s="58">
        <f t="shared" si="39"/>
        <v>352.24</v>
      </c>
      <c r="L290" s="58">
        <f t="shared" si="39"/>
        <v>1.11</v>
      </c>
    </row>
    <row r="291" spans="1:12" ht="53.25" thickBot="1">
      <c r="A291" s="61"/>
      <c r="B291" s="62"/>
      <c r="C291" s="64"/>
      <c r="D291" s="111" t="s">
        <v>1</v>
      </c>
      <c r="E291" s="112" t="s">
        <v>2</v>
      </c>
      <c r="F291" s="112" t="s">
        <v>3</v>
      </c>
      <c r="G291" s="126" t="s">
        <v>4</v>
      </c>
      <c r="H291" s="113" t="s">
        <v>251</v>
      </c>
      <c r="I291" s="113" t="s">
        <v>252</v>
      </c>
      <c r="J291" s="112" t="s">
        <v>6</v>
      </c>
      <c r="K291" s="112" t="s">
        <v>31</v>
      </c>
      <c r="L291" s="112" t="s">
        <v>5</v>
      </c>
    </row>
    <row r="292" spans="1:12" ht="46.5" thickBot="1">
      <c r="A292" s="61"/>
      <c r="B292" s="127" t="s">
        <v>12</v>
      </c>
      <c r="C292" s="64"/>
      <c r="D292" s="58">
        <f aca="true" t="shared" si="40" ref="D292:L292">SUM(D270+D274+D284+D290)</f>
        <v>41.91</v>
      </c>
      <c r="E292" s="58">
        <f t="shared" si="40"/>
        <v>48.519999999999996</v>
      </c>
      <c r="F292" s="58">
        <f t="shared" si="40"/>
        <v>189.37</v>
      </c>
      <c r="G292" s="58">
        <f t="shared" si="40"/>
        <v>1498.03</v>
      </c>
      <c r="H292" s="58">
        <f t="shared" si="40"/>
        <v>0.516</v>
      </c>
      <c r="I292" s="58">
        <f t="shared" si="40"/>
        <v>0.84</v>
      </c>
      <c r="J292" s="58">
        <f t="shared" si="40"/>
        <v>37.809999999999995</v>
      </c>
      <c r="K292" s="58">
        <f t="shared" si="40"/>
        <v>890.99</v>
      </c>
      <c r="L292" s="58">
        <f t="shared" si="40"/>
        <v>8.668999999999999</v>
      </c>
    </row>
    <row r="293" spans="1:12" ht="46.5" thickBot="1">
      <c r="A293" s="61"/>
      <c r="B293" s="127" t="s">
        <v>13</v>
      </c>
      <c r="C293" s="64"/>
      <c r="D293" s="58">
        <v>39.9</v>
      </c>
      <c r="E293" s="58">
        <v>44.65</v>
      </c>
      <c r="F293" s="58">
        <v>192.85</v>
      </c>
      <c r="G293" s="58">
        <v>1330</v>
      </c>
      <c r="H293" s="58">
        <v>0.76</v>
      </c>
      <c r="I293" s="58">
        <v>0.86</v>
      </c>
      <c r="J293" s="58">
        <v>42.75</v>
      </c>
      <c r="K293" s="58">
        <v>760</v>
      </c>
      <c r="L293" s="58">
        <v>9.5</v>
      </c>
    </row>
    <row r="294" spans="1:12" ht="91.5" thickBot="1">
      <c r="A294" s="115"/>
      <c r="B294" s="128" t="s">
        <v>14</v>
      </c>
      <c r="C294" s="112"/>
      <c r="D294" s="129">
        <f aca="true" t="shared" si="41" ref="D294:L294">D292*100/D293</f>
        <v>105.03759398496241</v>
      </c>
      <c r="E294" s="129">
        <f t="shared" si="41"/>
        <v>108.66741321388578</v>
      </c>
      <c r="F294" s="129">
        <f t="shared" si="41"/>
        <v>98.19548872180451</v>
      </c>
      <c r="G294" s="129">
        <f t="shared" si="41"/>
        <v>112.63383458646616</v>
      </c>
      <c r="H294" s="129">
        <f t="shared" si="41"/>
        <v>67.89473684210526</v>
      </c>
      <c r="I294" s="129">
        <f t="shared" si="41"/>
        <v>97.67441860465117</v>
      </c>
      <c r="J294" s="129">
        <f t="shared" si="41"/>
        <v>88.44444444444443</v>
      </c>
      <c r="K294" s="129">
        <f t="shared" si="41"/>
        <v>117.23552631578947</v>
      </c>
      <c r="L294" s="129">
        <f t="shared" si="41"/>
        <v>91.25263157894736</v>
      </c>
    </row>
    <row r="295" spans="1:12" ht="45.75">
      <c r="A295" s="130"/>
      <c r="B295" s="102"/>
      <c r="C295" s="131"/>
      <c r="D295" s="132"/>
      <c r="E295" s="132"/>
      <c r="F295" s="132"/>
      <c r="G295" s="132"/>
      <c r="H295" s="132"/>
      <c r="I295" s="132"/>
      <c r="J295" s="132"/>
      <c r="K295" s="132"/>
      <c r="L295" s="132"/>
    </row>
    <row r="296" spans="1:12" ht="45.75">
      <c r="A296" s="130"/>
      <c r="B296" s="100" t="s">
        <v>182</v>
      </c>
      <c r="C296" s="100"/>
      <c r="E296" s="132"/>
      <c r="F296" s="132"/>
      <c r="G296" s="132"/>
      <c r="H296" s="132"/>
      <c r="I296" s="132"/>
      <c r="J296" s="132"/>
      <c r="K296" s="132"/>
      <c r="L296" s="132"/>
    </row>
    <row r="297" spans="1:12" ht="53.25">
      <c r="A297" s="130"/>
      <c r="B297" s="100" t="s">
        <v>254</v>
      </c>
      <c r="L297" s="132"/>
    </row>
    <row r="298" spans="1:12" ht="45.75">
      <c r="A298" s="130"/>
      <c r="B298" s="100" t="s">
        <v>180</v>
      </c>
      <c r="L298" s="132"/>
    </row>
    <row r="299" spans="1:12" ht="45.75">
      <c r="A299" s="130"/>
      <c r="B299" s="100" t="s">
        <v>181</v>
      </c>
      <c r="L299" s="132"/>
    </row>
    <row r="300" spans="1:12" ht="45.75">
      <c r="A300" s="130"/>
      <c r="K300" s="132"/>
      <c r="L300" s="132"/>
    </row>
    <row r="301" spans="1:12" ht="45.75">
      <c r="A301" s="174" t="s">
        <v>103</v>
      </c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</row>
    <row r="302" spans="1:12" ht="45.75">
      <c r="A302" s="174" t="s">
        <v>106</v>
      </c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</row>
    <row r="303" spans="1:12" ht="45.75" customHeight="1">
      <c r="A303" s="175" t="s">
        <v>260</v>
      </c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</row>
    <row r="304" spans="1:12" ht="46.5" thickBot="1">
      <c r="A304" s="176"/>
      <c r="B304" s="176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</row>
    <row r="305" spans="1:12" ht="46.5" thickBot="1">
      <c r="A305" s="177" t="s">
        <v>39</v>
      </c>
      <c r="B305" s="152" t="s">
        <v>100</v>
      </c>
      <c r="C305" s="104" t="s">
        <v>27</v>
      </c>
      <c r="D305" s="179" t="s">
        <v>28</v>
      </c>
      <c r="E305" s="180"/>
      <c r="F305" s="181"/>
      <c r="G305" s="152" t="s">
        <v>101</v>
      </c>
      <c r="H305" s="179" t="s">
        <v>29</v>
      </c>
      <c r="I305" s="180"/>
      <c r="J305" s="181"/>
      <c r="K305" s="179" t="s">
        <v>30</v>
      </c>
      <c r="L305" s="181"/>
    </row>
    <row r="306" spans="1:12" ht="53.25" thickBot="1">
      <c r="A306" s="178"/>
      <c r="B306" s="103"/>
      <c r="C306" s="105"/>
      <c r="D306" s="111" t="s">
        <v>1</v>
      </c>
      <c r="E306" s="112" t="s">
        <v>2</v>
      </c>
      <c r="F306" s="112" t="s">
        <v>3</v>
      </c>
      <c r="G306" s="103"/>
      <c r="H306" s="113" t="s">
        <v>251</v>
      </c>
      <c r="I306" s="135" t="s">
        <v>252</v>
      </c>
      <c r="J306" s="112" t="s">
        <v>6</v>
      </c>
      <c r="K306" s="112" t="s">
        <v>31</v>
      </c>
      <c r="L306" s="112" t="s">
        <v>5</v>
      </c>
    </row>
    <row r="307" spans="1:12" ht="46.5" thickBot="1">
      <c r="A307" s="110">
        <v>1</v>
      </c>
      <c r="B307" s="116">
        <v>2</v>
      </c>
      <c r="C307" s="117">
        <v>3</v>
      </c>
      <c r="D307" s="136">
        <v>4</v>
      </c>
      <c r="E307" s="116">
        <v>5</v>
      </c>
      <c r="F307" s="116">
        <v>6</v>
      </c>
      <c r="G307" s="116">
        <v>7</v>
      </c>
      <c r="H307" s="137">
        <v>8</v>
      </c>
      <c r="I307" s="116">
        <v>9</v>
      </c>
      <c r="J307" s="116">
        <v>10</v>
      </c>
      <c r="K307" s="137">
        <v>11</v>
      </c>
      <c r="L307" s="116">
        <v>12</v>
      </c>
    </row>
    <row r="308" spans="1:12" ht="46.5" thickBot="1">
      <c r="A308" s="179" t="s">
        <v>7</v>
      </c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1"/>
    </row>
    <row r="309" spans="1:12" ht="92.25" thickBot="1">
      <c r="A309" s="121">
        <v>37</v>
      </c>
      <c r="B309" s="124" t="s">
        <v>53</v>
      </c>
      <c r="C309" s="55">
        <v>80</v>
      </c>
      <c r="D309" s="56">
        <v>7.21</v>
      </c>
      <c r="E309" s="56">
        <v>10.01</v>
      </c>
      <c r="F309" s="56">
        <v>1.79</v>
      </c>
      <c r="G309" s="56">
        <v>125</v>
      </c>
      <c r="H309" s="56">
        <v>0.04</v>
      </c>
      <c r="I309" s="56">
        <v>0.03</v>
      </c>
      <c r="J309" s="56">
        <v>0.39</v>
      </c>
      <c r="K309" s="56">
        <v>63.98</v>
      </c>
      <c r="L309" s="56">
        <v>0.96</v>
      </c>
    </row>
    <row r="310" spans="1:12" ht="92.25" thickBot="1">
      <c r="A310" s="121">
        <v>38</v>
      </c>
      <c r="B310" s="62" t="s">
        <v>137</v>
      </c>
      <c r="C310" s="64" t="s">
        <v>164</v>
      </c>
      <c r="D310" s="58">
        <v>2.25</v>
      </c>
      <c r="E310" s="58">
        <v>0.09</v>
      </c>
      <c r="F310" s="58">
        <v>3.74</v>
      </c>
      <c r="G310" s="58">
        <v>24.75</v>
      </c>
      <c r="H310" s="58">
        <v>0.15</v>
      </c>
      <c r="I310" s="58">
        <v>0.08</v>
      </c>
      <c r="J310" s="58">
        <v>4.5</v>
      </c>
      <c r="K310" s="58">
        <v>11.7</v>
      </c>
      <c r="L310" s="58">
        <v>0.32</v>
      </c>
    </row>
    <row r="311" spans="1:12" ht="46.5" thickBot="1">
      <c r="A311" s="61">
        <v>15</v>
      </c>
      <c r="B311" s="62" t="s">
        <v>18</v>
      </c>
      <c r="C311" s="55">
        <v>150</v>
      </c>
      <c r="D311" s="58">
        <v>1</v>
      </c>
      <c r="E311" s="58">
        <v>1.08</v>
      </c>
      <c r="F311" s="58">
        <v>10.83</v>
      </c>
      <c r="G311" s="58">
        <v>75</v>
      </c>
      <c r="H311" s="123">
        <v>0.03</v>
      </c>
      <c r="I311" s="123">
        <v>0.03</v>
      </c>
      <c r="J311" s="123">
        <v>0.83</v>
      </c>
      <c r="K311" s="58">
        <v>91.48</v>
      </c>
      <c r="L311" s="58">
        <v>0.02</v>
      </c>
    </row>
    <row r="312" spans="1:12" ht="46.5" thickBot="1">
      <c r="A312" s="61">
        <v>16</v>
      </c>
      <c r="B312" s="62" t="s">
        <v>54</v>
      </c>
      <c r="C312" s="63" t="s">
        <v>206</v>
      </c>
      <c r="D312" s="58">
        <v>1.54</v>
      </c>
      <c r="E312" s="58">
        <v>3.46</v>
      </c>
      <c r="F312" s="58">
        <v>9.75</v>
      </c>
      <c r="G312" s="58">
        <v>78</v>
      </c>
      <c r="H312" s="58">
        <v>0.02</v>
      </c>
      <c r="I312" s="58">
        <v>0.02</v>
      </c>
      <c r="J312" s="58">
        <v>0</v>
      </c>
      <c r="K312" s="58">
        <v>4.48</v>
      </c>
      <c r="L312" s="58">
        <v>0.23</v>
      </c>
    </row>
    <row r="313" spans="1:12" ht="46.5" thickBot="1">
      <c r="A313" s="61"/>
      <c r="B313" s="62" t="s">
        <v>8</v>
      </c>
      <c r="C313" s="64"/>
      <c r="D313" s="58">
        <f>SUM(D309:D312)</f>
        <v>12</v>
      </c>
      <c r="E313" s="58">
        <f aca="true" t="shared" si="42" ref="E313:L313">SUM(E309+E310+E312)</f>
        <v>13.559999999999999</v>
      </c>
      <c r="F313" s="58">
        <f t="shared" si="42"/>
        <v>15.280000000000001</v>
      </c>
      <c r="G313" s="58">
        <f t="shared" si="42"/>
        <v>227.75</v>
      </c>
      <c r="H313" s="58">
        <f t="shared" si="42"/>
        <v>0.21</v>
      </c>
      <c r="I313" s="58">
        <f t="shared" si="42"/>
        <v>0.13</v>
      </c>
      <c r="J313" s="58">
        <f t="shared" si="42"/>
        <v>4.89</v>
      </c>
      <c r="K313" s="58">
        <f t="shared" si="42"/>
        <v>80.16</v>
      </c>
      <c r="L313" s="58">
        <f t="shared" si="42"/>
        <v>1.51</v>
      </c>
    </row>
    <row r="314" spans="1:12" ht="46.5" thickBot="1">
      <c r="A314" s="179" t="s">
        <v>107</v>
      </c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1"/>
    </row>
    <row r="315" spans="1:12" ht="46.5" thickBot="1">
      <c r="A315" s="61" t="s">
        <v>45</v>
      </c>
      <c r="B315" s="62" t="s">
        <v>108</v>
      </c>
      <c r="C315" s="63" t="s">
        <v>238</v>
      </c>
      <c r="D315" s="58">
        <v>0.18</v>
      </c>
      <c r="E315" s="58">
        <v>0.09</v>
      </c>
      <c r="F315" s="58">
        <v>9.09</v>
      </c>
      <c r="G315" s="58">
        <v>41.4</v>
      </c>
      <c r="H315" s="58">
        <v>0.01</v>
      </c>
      <c r="I315" s="58">
        <v>0.01</v>
      </c>
      <c r="J315" s="58">
        <v>1.8</v>
      </c>
      <c r="K315" s="58">
        <v>6.3</v>
      </c>
      <c r="L315" s="58">
        <v>0.18</v>
      </c>
    </row>
    <row r="316" spans="1:12" ht="54" thickBot="1">
      <c r="A316" s="61" t="s">
        <v>45</v>
      </c>
      <c r="B316" s="62" t="s">
        <v>255</v>
      </c>
      <c r="C316" s="55">
        <v>100</v>
      </c>
      <c r="D316" s="58">
        <v>0.35</v>
      </c>
      <c r="E316" s="58">
        <v>0.28</v>
      </c>
      <c r="F316" s="58">
        <v>9.28</v>
      </c>
      <c r="G316" s="58">
        <v>42.3</v>
      </c>
      <c r="H316" s="58">
        <v>0.03</v>
      </c>
      <c r="I316" s="58">
        <v>0.04</v>
      </c>
      <c r="J316" s="58">
        <v>4.5</v>
      </c>
      <c r="K316" s="58">
        <v>17.1</v>
      </c>
      <c r="L316" s="58">
        <v>2.08</v>
      </c>
    </row>
    <row r="317" spans="1:12" ht="46.5" thickBot="1">
      <c r="A317" s="61"/>
      <c r="B317" s="62" t="s">
        <v>8</v>
      </c>
      <c r="C317" s="64"/>
      <c r="D317" s="58">
        <f aca="true" t="shared" si="43" ref="D317:L317">SUM(D315:D316)</f>
        <v>0.53</v>
      </c>
      <c r="E317" s="58">
        <f t="shared" si="43"/>
        <v>0.37</v>
      </c>
      <c r="F317" s="58">
        <f t="shared" si="43"/>
        <v>18.369999999999997</v>
      </c>
      <c r="G317" s="58">
        <f t="shared" si="43"/>
        <v>83.69999999999999</v>
      </c>
      <c r="H317" s="58">
        <f t="shared" si="43"/>
        <v>0.04</v>
      </c>
      <c r="I317" s="58">
        <f t="shared" si="43"/>
        <v>0.05</v>
      </c>
      <c r="J317" s="58">
        <f t="shared" si="43"/>
        <v>6.3</v>
      </c>
      <c r="K317" s="58">
        <f t="shared" si="43"/>
        <v>23.400000000000002</v>
      </c>
      <c r="L317" s="58">
        <f t="shared" si="43"/>
        <v>2.2600000000000002</v>
      </c>
    </row>
    <row r="318" spans="1:12" ht="46.5" thickBot="1">
      <c r="A318" s="179" t="s">
        <v>10</v>
      </c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1"/>
    </row>
    <row r="319" spans="1:12" ht="92.25" thickBot="1">
      <c r="A319" s="121">
        <v>83</v>
      </c>
      <c r="B319" s="140" t="s">
        <v>195</v>
      </c>
      <c r="C319" s="63" t="s">
        <v>164</v>
      </c>
      <c r="D319" s="58">
        <v>0.75</v>
      </c>
      <c r="E319" s="58">
        <v>3.8</v>
      </c>
      <c r="F319" s="58">
        <v>2.27</v>
      </c>
      <c r="G319" s="58">
        <v>42.75</v>
      </c>
      <c r="H319" s="58">
        <v>0.02</v>
      </c>
      <c r="I319" s="58">
        <v>0.03</v>
      </c>
      <c r="J319" s="58">
        <v>2.14</v>
      </c>
      <c r="K319" s="58">
        <v>15.09</v>
      </c>
      <c r="L319" s="58">
        <v>0.23</v>
      </c>
    </row>
    <row r="320" spans="1:12" ht="92.25" thickBot="1">
      <c r="A320" s="61">
        <v>41</v>
      </c>
      <c r="B320" s="62" t="s">
        <v>44</v>
      </c>
      <c r="C320" s="64" t="s">
        <v>169</v>
      </c>
      <c r="D320" s="58">
        <v>5.2</v>
      </c>
      <c r="E320" s="58">
        <v>4.24</v>
      </c>
      <c r="F320" s="58">
        <v>11.62</v>
      </c>
      <c r="G320" s="58">
        <v>133.8</v>
      </c>
      <c r="H320" s="58">
        <v>0.11</v>
      </c>
      <c r="I320" s="58">
        <v>0.06</v>
      </c>
      <c r="J320" s="58">
        <v>8.42</v>
      </c>
      <c r="K320" s="58">
        <v>24.86</v>
      </c>
      <c r="L320" s="58">
        <v>1.28</v>
      </c>
    </row>
    <row r="321" spans="1:12" ht="46.5" thickBot="1">
      <c r="A321" s="61">
        <v>19</v>
      </c>
      <c r="B321" s="62" t="s">
        <v>72</v>
      </c>
      <c r="C321" s="64" t="s">
        <v>34</v>
      </c>
      <c r="D321" s="58">
        <v>5.63</v>
      </c>
      <c r="E321" s="58">
        <v>3.98</v>
      </c>
      <c r="F321" s="58">
        <v>11</v>
      </c>
      <c r="G321" s="58">
        <v>170.45</v>
      </c>
      <c r="H321" s="58">
        <v>0.1</v>
      </c>
      <c r="I321" s="58">
        <v>0.02</v>
      </c>
      <c r="J321" s="58">
        <v>6.13</v>
      </c>
      <c r="K321" s="58">
        <v>44.28</v>
      </c>
      <c r="L321" s="58">
        <v>0.73</v>
      </c>
    </row>
    <row r="322" spans="1:13" ht="46.5" thickBot="1">
      <c r="A322" s="61">
        <v>20</v>
      </c>
      <c r="B322" s="62" t="s">
        <v>43</v>
      </c>
      <c r="C322" s="55">
        <v>150</v>
      </c>
      <c r="D322" s="58">
        <v>0</v>
      </c>
      <c r="E322" s="58">
        <v>0</v>
      </c>
      <c r="F322" s="58">
        <v>13.5</v>
      </c>
      <c r="G322" s="58">
        <v>46.5</v>
      </c>
      <c r="H322" s="58">
        <v>0</v>
      </c>
      <c r="I322" s="58">
        <v>0</v>
      </c>
      <c r="J322" s="58">
        <v>0</v>
      </c>
      <c r="K322" s="58">
        <v>0.37</v>
      </c>
      <c r="L322" s="58">
        <v>0.06</v>
      </c>
      <c r="M322" s="120"/>
    </row>
    <row r="323" spans="1:13" ht="92.25" thickBot="1">
      <c r="A323" s="61" t="s">
        <v>45</v>
      </c>
      <c r="B323" s="62" t="s">
        <v>114</v>
      </c>
      <c r="C323" s="55">
        <v>25</v>
      </c>
      <c r="D323" s="58">
        <v>2</v>
      </c>
      <c r="E323" s="58">
        <v>0.25</v>
      </c>
      <c r="F323" s="58">
        <v>12.05</v>
      </c>
      <c r="G323" s="58">
        <v>59</v>
      </c>
      <c r="H323" s="58">
        <v>0.04</v>
      </c>
      <c r="I323" s="58">
        <v>0.02</v>
      </c>
      <c r="J323" s="58">
        <v>0</v>
      </c>
      <c r="K323" s="58">
        <v>6</v>
      </c>
      <c r="L323" s="58">
        <v>0.5</v>
      </c>
      <c r="M323" s="120"/>
    </row>
    <row r="324" spans="1:13" s="120" customFormat="1" ht="92.25" thickBot="1">
      <c r="A324" s="61" t="s">
        <v>45</v>
      </c>
      <c r="B324" s="62" t="s">
        <v>144</v>
      </c>
      <c r="C324" s="55">
        <v>40</v>
      </c>
      <c r="D324" s="58">
        <v>2.24</v>
      </c>
      <c r="E324" s="58">
        <v>0.48</v>
      </c>
      <c r="F324" s="58">
        <v>19.76</v>
      </c>
      <c r="G324" s="58">
        <v>92.8</v>
      </c>
      <c r="H324" s="58">
        <v>0.05</v>
      </c>
      <c r="I324" s="58">
        <v>0.02</v>
      </c>
      <c r="J324" s="58">
        <v>0</v>
      </c>
      <c r="K324" s="58">
        <v>9.6</v>
      </c>
      <c r="L324" s="58">
        <v>1.28</v>
      </c>
      <c r="M324" s="100"/>
    </row>
    <row r="325" spans="1:13" s="120" customFormat="1" ht="46.5" thickBot="1">
      <c r="A325" s="121"/>
      <c r="B325" s="124" t="s">
        <v>37</v>
      </c>
      <c r="C325" s="55"/>
      <c r="D325" s="56">
        <f>SUM(D319:D324)</f>
        <v>15.82</v>
      </c>
      <c r="E325" s="56">
        <f aca="true" t="shared" si="44" ref="E325:L325">SUM(E319:E324)</f>
        <v>12.75</v>
      </c>
      <c r="F325" s="56">
        <f t="shared" si="44"/>
        <v>70.2</v>
      </c>
      <c r="G325" s="56">
        <f t="shared" si="44"/>
        <v>545.3</v>
      </c>
      <c r="H325" s="56">
        <f t="shared" si="44"/>
        <v>0.32</v>
      </c>
      <c r="I325" s="56">
        <f t="shared" si="44"/>
        <v>0.15</v>
      </c>
      <c r="J325" s="56">
        <f t="shared" si="44"/>
        <v>16.69</v>
      </c>
      <c r="K325" s="56">
        <f t="shared" si="44"/>
        <v>100.2</v>
      </c>
      <c r="L325" s="56">
        <f t="shared" si="44"/>
        <v>4.08</v>
      </c>
      <c r="M325" s="100"/>
    </row>
    <row r="326" spans="1:12" ht="46.5" thickBot="1">
      <c r="A326" s="182" t="s">
        <v>207</v>
      </c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50"/>
    </row>
    <row r="327" spans="1:12" ht="92.25" thickBot="1">
      <c r="A327" s="121">
        <v>29</v>
      </c>
      <c r="B327" s="62" t="s">
        <v>75</v>
      </c>
      <c r="C327" s="64" t="s">
        <v>146</v>
      </c>
      <c r="D327" s="58">
        <v>6.83</v>
      </c>
      <c r="E327" s="58">
        <v>3.81</v>
      </c>
      <c r="F327" s="58">
        <v>24.8</v>
      </c>
      <c r="G327" s="58">
        <v>99.75</v>
      </c>
      <c r="H327" s="141">
        <v>0.05</v>
      </c>
      <c r="I327" s="58">
        <v>0.08</v>
      </c>
      <c r="J327" s="58">
        <v>0.37</v>
      </c>
      <c r="K327" s="58">
        <v>38.59</v>
      </c>
      <c r="L327" s="58">
        <v>0.77</v>
      </c>
    </row>
    <row r="328" spans="1:12" ht="46.5" thickBot="1">
      <c r="A328" s="121">
        <v>79</v>
      </c>
      <c r="B328" s="62" t="s">
        <v>135</v>
      </c>
      <c r="C328" s="64" t="s">
        <v>171</v>
      </c>
      <c r="D328" s="58">
        <v>1.81</v>
      </c>
      <c r="E328" s="58">
        <v>6.98</v>
      </c>
      <c r="F328" s="58">
        <v>9.67</v>
      </c>
      <c r="G328" s="58">
        <v>106.34</v>
      </c>
      <c r="H328" s="58">
        <v>0.07</v>
      </c>
      <c r="I328" s="58">
        <v>0.08</v>
      </c>
      <c r="J328" s="58">
        <v>4.25</v>
      </c>
      <c r="K328" s="58">
        <v>68.21</v>
      </c>
      <c r="L328" s="58">
        <v>0.95</v>
      </c>
    </row>
    <row r="329" spans="1:12" ht="46.5" thickBot="1">
      <c r="A329" s="53">
        <v>31</v>
      </c>
      <c r="B329" s="54" t="s">
        <v>11</v>
      </c>
      <c r="C329" s="55" t="s">
        <v>174</v>
      </c>
      <c r="D329" s="56">
        <v>0.04</v>
      </c>
      <c r="E329" s="56">
        <v>0</v>
      </c>
      <c r="F329" s="56">
        <v>9.1</v>
      </c>
      <c r="G329" s="56">
        <v>35</v>
      </c>
      <c r="H329" s="56">
        <v>0</v>
      </c>
      <c r="I329" s="56">
        <v>0</v>
      </c>
      <c r="J329" s="56">
        <v>1.6</v>
      </c>
      <c r="K329" s="56">
        <v>1.87</v>
      </c>
      <c r="L329" s="56">
        <v>0.08</v>
      </c>
    </row>
    <row r="330" spans="1:12" ht="92.25" thickBot="1">
      <c r="A330" s="61" t="s">
        <v>45</v>
      </c>
      <c r="B330" s="62" t="s">
        <v>114</v>
      </c>
      <c r="C330" s="55">
        <v>20</v>
      </c>
      <c r="D330" s="58">
        <v>1.6</v>
      </c>
      <c r="E330" s="58">
        <v>0.2</v>
      </c>
      <c r="F330" s="58">
        <v>9.64</v>
      </c>
      <c r="G330" s="58">
        <v>47.2</v>
      </c>
      <c r="H330" s="58">
        <v>0.03</v>
      </c>
      <c r="I330" s="58">
        <v>0.01</v>
      </c>
      <c r="J330" s="58">
        <v>0</v>
      </c>
      <c r="K330" s="58">
        <v>4.8</v>
      </c>
      <c r="L330" s="58">
        <v>0.4</v>
      </c>
    </row>
    <row r="331" spans="1:12" ht="46.5" thickBot="1">
      <c r="A331" s="61">
        <v>21</v>
      </c>
      <c r="B331" s="125" t="s">
        <v>38</v>
      </c>
      <c r="C331" s="64" t="s">
        <v>239</v>
      </c>
      <c r="D331" s="56">
        <v>4.06</v>
      </c>
      <c r="E331" s="56">
        <v>4.48</v>
      </c>
      <c r="F331" s="56">
        <v>5.6</v>
      </c>
      <c r="G331" s="56">
        <v>82.6</v>
      </c>
      <c r="H331" s="56">
        <v>0.04</v>
      </c>
      <c r="I331" s="56">
        <v>0.24</v>
      </c>
      <c r="J331" s="56">
        <v>0.98</v>
      </c>
      <c r="K331" s="56">
        <v>168</v>
      </c>
      <c r="L331" s="56">
        <v>0.14</v>
      </c>
    </row>
    <row r="332" spans="1:12" ht="138" thickBot="1">
      <c r="A332" s="53">
        <v>43</v>
      </c>
      <c r="B332" s="54" t="s">
        <v>88</v>
      </c>
      <c r="C332" s="64" t="s">
        <v>51</v>
      </c>
      <c r="D332" s="58">
        <v>3.87</v>
      </c>
      <c r="E332" s="58">
        <v>4.32</v>
      </c>
      <c r="F332" s="58">
        <v>24.4</v>
      </c>
      <c r="G332" s="58">
        <v>162</v>
      </c>
      <c r="H332" s="58">
        <v>0.07</v>
      </c>
      <c r="I332" s="58">
        <v>0.03</v>
      </c>
      <c r="J332" s="58">
        <v>18.51</v>
      </c>
      <c r="K332" s="58">
        <v>26.37</v>
      </c>
      <c r="L332" s="58">
        <v>0.53</v>
      </c>
    </row>
    <row r="333" spans="1:12" ht="46.5" thickBot="1">
      <c r="A333" s="115"/>
      <c r="B333" s="62" t="s">
        <v>8</v>
      </c>
      <c r="C333" s="64"/>
      <c r="D333" s="58">
        <f>SUM(D327:D332)</f>
        <v>18.21</v>
      </c>
      <c r="E333" s="58">
        <f aca="true" t="shared" si="45" ref="E333:L333">SUM(E327:E332)</f>
        <v>19.79</v>
      </c>
      <c r="F333" s="58">
        <f t="shared" si="45"/>
        <v>83.21000000000001</v>
      </c>
      <c r="G333" s="58">
        <f t="shared" si="45"/>
        <v>532.89</v>
      </c>
      <c r="H333" s="58">
        <f t="shared" si="45"/>
        <v>0.26</v>
      </c>
      <c r="I333" s="58">
        <f t="shared" si="45"/>
        <v>0.44000000000000006</v>
      </c>
      <c r="J333" s="58">
        <f t="shared" si="45"/>
        <v>25.71</v>
      </c>
      <c r="K333" s="58">
        <f t="shared" si="45"/>
        <v>307.84000000000003</v>
      </c>
      <c r="L333" s="58">
        <f t="shared" si="45"/>
        <v>2.87</v>
      </c>
    </row>
    <row r="334" spans="1:12" ht="53.25" thickBot="1">
      <c r="A334" s="61"/>
      <c r="B334" s="62"/>
      <c r="C334" s="64"/>
      <c r="D334" s="111" t="s">
        <v>1</v>
      </c>
      <c r="E334" s="112" t="s">
        <v>2</v>
      </c>
      <c r="F334" s="112" t="s">
        <v>3</v>
      </c>
      <c r="G334" s="126" t="s">
        <v>4</v>
      </c>
      <c r="H334" s="113" t="s">
        <v>251</v>
      </c>
      <c r="I334" s="113" t="s">
        <v>252</v>
      </c>
      <c r="J334" s="112" t="s">
        <v>6</v>
      </c>
      <c r="K334" s="112" t="s">
        <v>31</v>
      </c>
      <c r="L334" s="112" t="s">
        <v>5</v>
      </c>
    </row>
    <row r="335" spans="1:12" ht="46.5" thickBot="1">
      <c r="A335" s="61"/>
      <c r="B335" s="127" t="s">
        <v>12</v>
      </c>
      <c r="C335" s="64"/>
      <c r="D335" s="58">
        <f>SUM(D313+D317+D325+D333)</f>
        <v>46.56</v>
      </c>
      <c r="E335" s="58">
        <f aca="true" t="shared" si="46" ref="E335:L335">SUM(E313+E317+E325+E333)</f>
        <v>46.47</v>
      </c>
      <c r="F335" s="58">
        <f t="shared" si="46"/>
        <v>187.06</v>
      </c>
      <c r="G335" s="58">
        <f t="shared" si="46"/>
        <v>1389.6399999999999</v>
      </c>
      <c r="H335" s="58">
        <f t="shared" si="46"/>
        <v>0.8300000000000001</v>
      </c>
      <c r="I335" s="58">
        <f t="shared" si="46"/>
        <v>0.77</v>
      </c>
      <c r="J335" s="58">
        <f t="shared" si="46"/>
        <v>53.59</v>
      </c>
      <c r="K335" s="58">
        <f t="shared" si="46"/>
        <v>511.6</v>
      </c>
      <c r="L335" s="58">
        <f t="shared" si="46"/>
        <v>10.72</v>
      </c>
    </row>
    <row r="336" spans="1:12" ht="46.5" thickBot="1">
      <c r="A336" s="61"/>
      <c r="B336" s="127" t="s">
        <v>13</v>
      </c>
      <c r="C336" s="64"/>
      <c r="D336" s="58">
        <v>39.9</v>
      </c>
      <c r="E336" s="58">
        <v>44.65</v>
      </c>
      <c r="F336" s="58">
        <v>192.85</v>
      </c>
      <c r="G336" s="58">
        <v>1330</v>
      </c>
      <c r="H336" s="58">
        <v>0.76</v>
      </c>
      <c r="I336" s="58">
        <v>0.86</v>
      </c>
      <c r="J336" s="58">
        <v>42.75</v>
      </c>
      <c r="K336" s="58">
        <v>760</v>
      </c>
      <c r="L336" s="58">
        <v>9.5</v>
      </c>
    </row>
    <row r="337" spans="1:12" ht="91.5" thickBot="1">
      <c r="A337" s="115"/>
      <c r="B337" s="128" t="s">
        <v>14</v>
      </c>
      <c r="C337" s="112"/>
      <c r="D337" s="129">
        <f aca="true" t="shared" si="47" ref="D337:L337">D335*100/D336</f>
        <v>116.69172932330828</v>
      </c>
      <c r="E337" s="129">
        <f t="shared" si="47"/>
        <v>104.07614781634939</v>
      </c>
      <c r="F337" s="129">
        <f t="shared" si="47"/>
        <v>96.99766658024372</v>
      </c>
      <c r="G337" s="129">
        <f t="shared" si="47"/>
        <v>104.48421052631579</v>
      </c>
      <c r="H337" s="129">
        <f t="shared" si="47"/>
        <v>109.21052631578947</v>
      </c>
      <c r="I337" s="129">
        <f t="shared" si="47"/>
        <v>89.53488372093024</v>
      </c>
      <c r="J337" s="129">
        <f t="shared" si="47"/>
        <v>125.35672514619883</v>
      </c>
      <c r="K337" s="129">
        <f t="shared" si="47"/>
        <v>67.3157894736842</v>
      </c>
      <c r="L337" s="129">
        <f t="shared" si="47"/>
        <v>112.84210526315789</v>
      </c>
    </row>
    <row r="338" spans="1:12" ht="45.75">
      <c r="A338" s="130"/>
      <c r="B338" s="102"/>
      <c r="C338" s="131"/>
      <c r="D338" s="132"/>
      <c r="E338" s="132"/>
      <c r="F338" s="132"/>
      <c r="G338" s="132"/>
      <c r="H338" s="132"/>
      <c r="I338" s="132"/>
      <c r="J338" s="132"/>
      <c r="K338" s="132"/>
      <c r="L338" s="132"/>
    </row>
    <row r="339" spans="1:12" ht="45.75">
      <c r="A339" s="130"/>
      <c r="B339" s="100" t="s">
        <v>182</v>
      </c>
      <c r="C339" s="100"/>
      <c r="E339" s="132"/>
      <c r="F339" s="132"/>
      <c r="G339" s="132"/>
      <c r="H339" s="132"/>
      <c r="I339" s="132"/>
      <c r="J339" s="132"/>
      <c r="K339" s="132"/>
      <c r="L339" s="132"/>
    </row>
    <row r="340" spans="1:12" ht="53.25">
      <c r="A340" s="130"/>
      <c r="B340" s="100" t="s">
        <v>254</v>
      </c>
      <c r="L340" s="132"/>
    </row>
    <row r="341" spans="1:12" ht="45.75">
      <c r="A341" s="130"/>
      <c r="B341" s="100" t="s">
        <v>180</v>
      </c>
      <c r="L341" s="132"/>
    </row>
    <row r="342" spans="1:12" ht="45.75">
      <c r="A342" s="130"/>
      <c r="B342" s="100" t="s">
        <v>181</v>
      </c>
      <c r="L342" s="132"/>
    </row>
    <row r="343" spans="1:12" ht="45.75">
      <c r="A343" s="130"/>
      <c r="K343" s="132"/>
      <c r="L343" s="132"/>
    </row>
    <row r="344" spans="1:12" ht="45.75">
      <c r="A344" s="174" t="s">
        <v>104</v>
      </c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</row>
    <row r="345" spans="1:12" ht="45.75">
      <c r="A345" s="174" t="s">
        <v>106</v>
      </c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</row>
    <row r="346" spans="1:12" ht="45.75" customHeight="1">
      <c r="A346" s="175" t="s">
        <v>260</v>
      </c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</row>
    <row r="347" spans="1:12" ht="46.5" thickBot="1">
      <c r="A347" s="176"/>
      <c r="B347" s="176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</row>
    <row r="348" spans="1:12" ht="46.5" thickBot="1">
      <c r="A348" s="177" t="s">
        <v>39</v>
      </c>
      <c r="B348" s="152" t="s">
        <v>100</v>
      </c>
      <c r="C348" s="104" t="s">
        <v>27</v>
      </c>
      <c r="D348" s="179" t="s">
        <v>28</v>
      </c>
      <c r="E348" s="180"/>
      <c r="F348" s="181"/>
      <c r="G348" s="152" t="s">
        <v>101</v>
      </c>
      <c r="H348" s="179" t="s">
        <v>29</v>
      </c>
      <c r="I348" s="180"/>
      <c r="J348" s="181"/>
      <c r="K348" s="179" t="s">
        <v>30</v>
      </c>
      <c r="L348" s="181"/>
    </row>
    <row r="349" spans="1:12" ht="53.25" thickBot="1">
      <c r="A349" s="178"/>
      <c r="B349" s="103"/>
      <c r="C349" s="105"/>
      <c r="D349" s="111" t="s">
        <v>1</v>
      </c>
      <c r="E349" s="112" t="s">
        <v>2</v>
      </c>
      <c r="F349" s="112" t="s">
        <v>3</v>
      </c>
      <c r="G349" s="103"/>
      <c r="H349" s="113" t="s">
        <v>251</v>
      </c>
      <c r="I349" s="135" t="s">
        <v>252</v>
      </c>
      <c r="J349" s="112" t="s">
        <v>6</v>
      </c>
      <c r="K349" s="112" t="s">
        <v>31</v>
      </c>
      <c r="L349" s="112" t="s">
        <v>5</v>
      </c>
    </row>
    <row r="350" spans="1:12" ht="46.5" thickBot="1">
      <c r="A350" s="115">
        <v>1</v>
      </c>
      <c r="B350" s="116">
        <v>2</v>
      </c>
      <c r="C350" s="117">
        <v>3</v>
      </c>
      <c r="D350" s="118">
        <v>4</v>
      </c>
      <c r="E350" s="116">
        <v>5</v>
      </c>
      <c r="F350" s="116">
        <v>6</v>
      </c>
      <c r="G350" s="116">
        <v>7</v>
      </c>
      <c r="H350" s="119">
        <v>8</v>
      </c>
      <c r="I350" s="116">
        <v>9</v>
      </c>
      <c r="J350" s="116">
        <v>10</v>
      </c>
      <c r="K350" s="119">
        <v>11</v>
      </c>
      <c r="L350" s="116">
        <v>12</v>
      </c>
    </row>
    <row r="351" spans="1:12" ht="46.5" thickBot="1">
      <c r="A351" s="179" t="s">
        <v>7</v>
      </c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1"/>
    </row>
    <row r="352" spans="1:12" ht="92.25" thickBot="1">
      <c r="A352" s="121" t="s">
        <v>213</v>
      </c>
      <c r="B352" s="124" t="s">
        <v>222</v>
      </c>
      <c r="C352" s="55">
        <v>150</v>
      </c>
      <c r="D352" s="56">
        <v>5.26</v>
      </c>
      <c r="E352" s="56">
        <v>6.07</v>
      </c>
      <c r="F352" s="56">
        <v>21.29</v>
      </c>
      <c r="G352" s="56">
        <v>159.75</v>
      </c>
      <c r="H352" s="56">
        <v>0.11</v>
      </c>
      <c r="I352" s="56">
        <v>0.02</v>
      </c>
      <c r="J352" s="56">
        <v>1.46</v>
      </c>
      <c r="K352" s="56">
        <v>139.01</v>
      </c>
      <c r="L352" s="56">
        <v>0.57</v>
      </c>
    </row>
    <row r="353" spans="1:12" ht="92.25" thickBot="1">
      <c r="A353" s="61">
        <v>2</v>
      </c>
      <c r="B353" s="62" t="s">
        <v>189</v>
      </c>
      <c r="C353" s="55">
        <v>150</v>
      </c>
      <c r="D353" s="56">
        <v>1.08</v>
      </c>
      <c r="E353" s="56">
        <v>1.08</v>
      </c>
      <c r="F353" s="56">
        <v>11.67</v>
      </c>
      <c r="G353" s="56">
        <v>76.67</v>
      </c>
      <c r="H353" s="56">
        <v>0.02</v>
      </c>
      <c r="I353" s="56">
        <v>0.02</v>
      </c>
      <c r="J353" s="56">
        <v>0.83</v>
      </c>
      <c r="K353" s="56">
        <v>90.2</v>
      </c>
      <c r="L353" s="56">
        <v>0.02</v>
      </c>
    </row>
    <row r="354" spans="1:12" ht="92.25" thickBot="1">
      <c r="A354" s="61">
        <v>3</v>
      </c>
      <c r="B354" s="62" t="s">
        <v>58</v>
      </c>
      <c r="C354" s="64" t="s">
        <v>231</v>
      </c>
      <c r="D354" s="58">
        <v>3.61</v>
      </c>
      <c r="E354" s="58">
        <v>5.4</v>
      </c>
      <c r="F354" s="58">
        <v>9.75</v>
      </c>
      <c r="G354" s="58">
        <v>106</v>
      </c>
      <c r="H354" s="58">
        <v>0.02</v>
      </c>
      <c r="I354" s="58">
        <v>0.01</v>
      </c>
      <c r="J354" s="58">
        <v>0.14</v>
      </c>
      <c r="K354" s="58">
        <v>94.48</v>
      </c>
      <c r="L354" s="58">
        <v>0.33</v>
      </c>
    </row>
    <row r="355" spans="1:12" ht="46.5" thickBot="1">
      <c r="A355" s="61"/>
      <c r="B355" s="62" t="s">
        <v>8</v>
      </c>
      <c r="C355" s="64"/>
      <c r="D355" s="58">
        <f>SUM(D352:D354)</f>
        <v>9.95</v>
      </c>
      <c r="E355" s="58">
        <f aca="true" t="shared" si="48" ref="E355:L355">SUM(E352+E353+E354)</f>
        <v>12.55</v>
      </c>
      <c r="F355" s="58">
        <f t="shared" si="48"/>
        <v>42.71</v>
      </c>
      <c r="G355" s="58">
        <f t="shared" si="48"/>
        <v>342.42</v>
      </c>
      <c r="H355" s="58">
        <f t="shared" si="48"/>
        <v>0.15</v>
      </c>
      <c r="I355" s="58">
        <f t="shared" si="48"/>
        <v>0.05</v>
      </c>
      <c r="J355" s="58">
        <f t="shared" si="48"/>
        <v>2.43</v>
      </c>
      <c r="K355" s="58">
        <f t="shared" si="48"/>
        <v>323.69</v>
      </c>
      <c r="L355" s="58">
        <f t="shared" si="48"/>
        <v>0.9199999999999999</v>
      </c>
    </row>
    <row r="356" spans="1:12" ht="46.5" thickBot="1">
      <c r="A356" s="179" t="s">
        <v>107</v>
      </c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1"/>
    </row>
    <row r="357" spans="1:12" ht="46.5" thickBot="1">
      <c r="A357" s="61" t="s">
        <v>45</v>
      </c>
      <c r="B357" s="62" t="s">
        <v>108</v>
      </c>
      <c r="C357" s="63" t="s">
        <v>238</v>
      </c>
      <c r="D357" s="58">
        <v>0.18</v>
      </c>
      <c r="E357" s="58">
        <v>0.09</v>
      </c>
      <c r="F357" s="58">
        <v>9.09</v>
      </c>
      <c r="G357" s="58">
        <v>41.4</v>
      </c>
      <c r="H357" s="58">
        <v>0.01</v>
      </c>
      <c r="I357" s="58">
        <v>0.01</v>
      </c>
      <c r="J357" s="58">
        <v>1.8</v>
      </c>
      <c r="K357" s="58">
        <v>6.3</v>
      </c>
      <c r="L357" s="58">
        <v>0.18</v>
      </c>
    </row>
    <row r="358" spans="1:12" ht="54" thickBot="1">
      <c r="A358" s="61" t="s">
        <v>45</v>
      </c>
      <c r="B358" s="62" t="s">
        <v>256</v>
      </c>
      <c r="C358" s="55">
        <v>100</v>
      </c>
      <c r="D358" s="56">
        <v>0.9</v>
      </c>
      <c r="E358" s="56">
        <v>0.3</v>
      </c>
      <c r="F358" s="56">
        <v>12.6</v>
      </c>
      <c r="G358" s="56">
        <v>57.6</v>
      </c>
      <c r="H358" s="56">
        <v>0.03</v>
      </c>
      <c r="I358" s="56">
        <v>0.04</v>
      </c>
      <c r="J358" s="56">
        <v>6</v>
      </c>
      <c r="K358" s="56">
        <v>4.8</v>
      </c>
      <c r="L358" s="56">
        <v>0.35</v>
      </c>
    </row>
    <row r="359" spans="1:12" ht="46.5" thickBot="1">
      <c r="A359" s="61"/>
      <c r="B359" s="62" t="s">
        <v>8</v>
      </c>
      <c r="C359" s="64"/>
      <c r="D359" s="58">
        <f>SUM(D357:D358)</f>
        <v>1.08</v>
      </c>
      <c r="E359" s="58">
        <f aca="true" t="shared" si="49" ref="E359:L359">SUM(E357:E358)</f>
        <v>0.39</v>
      </c>
      <c r="F359" s="58">
        <f t="shared" si="49"/>
        <v>21.689999999999998</v>
      </c>
      <c r="G359" s="58">
        <f t="shared" si="49"/>
        <v>99</v>
      </c>
      <c r="H359" s="58">
        <f t="shared" si="49"/>
        <v>0.04</v>
      </c>
      <c r="I359" s="58">
        <f t="shared" si="49"/>
        <v>0.05</v>
      </c>
      <c r="J359" s="58">
        <f t="shared" si="49"/>
        <v>7.8</v>
      </c>
      <c r="K359" s="58">
        <f t="shared" si="49"/>
        <v>11.1</v>
      </c>
      <c r="L359" s="58">
        <f t="shared" si="49"/>
        <v>0.53</v>
      </c>
    </row>
    <row r="360" spans="1:12" ht="46.5" thickBot="1">
      <c r="A360" s="179" t="s">
        <v>10</v>
      </c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1"/>
    </row>
    <row r="361" spans="1:12" ht="92.25" thickBot="1">
      <c r="A361" s="121">
        <v>94</v>
      </c>
      <c r="B361" s="124" t="s">
        <v>211</v>
      </c>
      <c r="C361" s="55">
        <v>45</v>
      </c>
      <c r="D361" s="58">
        <v>0.63</v>
      </c>
      <c r="E361" s="58">
        <v>5.09</v>
      </c>
      <c r="F361" s="58">
        <v>4.23</v>
      </c>
      <c r="G361" s="58">
        <v>66</v>
      </c>
      <c r="H361" s="122">
        <v>0.02</v>
      </c>
      <c r="I361" s="58">
        <v>0.01</v>
      </c>
      <c r="J361" s="58">
        <v>4.98</v>
      </c>
      <c r="K361" s="58">
        <v>7.68</v>
      </c>
      <c r="L361" s="58">
        <v>0.31</v>
      </c>
    </row>
    <row r="362" spans="1:12" ht="138" thickBot="1">
      <c r="A362" s="61">
        <v>52</v>
      </c>
      <c r="B362" s="62" t="s">
        <v>155</v>
      </c>
      <c r="C362" s="64" t="s">
        <v>163</v>
      </c>
      <c r="D362" s="58">
        <v>3.57</v>
      </c>
      <c r="E362" s="58">
        <v>5.2</v>
      </c>
      <c r="F362" s="58">
        <v>19.59</v>
      </c>
      <c r="G362" s="58">
        <v>115.8</v>
      </c>
      <c r="H362" s="58">
        <v>0.21</v>
      </c>
      <c r="I362" s="58">
        <v>0.29</v>
      </c>
      <c r="J362" s="58">
        <v>6.62</v>
      </c>
      <c r="K362" s="58">
        <v>20.21</v>
      </c>
      <c r="L362" s="58">
        <v>1.13</v>
      </c>
    </row>
    <row r="363" spans="1:12" ht="46.5" thickBot="1">
      <c r="A363" s="61">
        <v>53</v>
      </c>
      <c r="B363" s="62" t="s">
        <v>140</v>
      </c>
      <c r="C363" s="55">
        <v>200</v>
      </c>
      <c r="D363" s="58">
        <v>9</v>
      </c>
      <c r="E363" s="58">
        <v>7.5</v>
      </c>
      <c r="F363" s="58">
        <v>7.36</v>
      </c>
      <c r="G363" s="58">
        <v>255</v>
      </c>
      <c r="H363" s="58">
        <v>0.05</v>
      </c>
      <c r="I363" s="58">
        <v>0.05</v>
      </c>
      <c r="J363" s="58">
        <v>19</v>
      </c>
      <c r="K363" s="58">
        <v>71.06</v>
      </c>
      <c r="L363" s="58">
        <v>1.41</v>
      </c>
    </row>
    <row r="364" spans="1:12" ht="92.25" thickBot="1">
      <c r="A364" s="61" t="s">
        <v>243</v>
      </c>
      <c r="B364" s="62" t="s">
        <v>244</v>
      </c>
      <c r="C364" s="55">
        <v>150</v>
      </c>
      <c r="D364" s="58">
        <v>0.12</v>
      </c>
      <c r="E364" s="58">
        <v>0.12</v>
      </c>
      <c r="F364" s="58">
        <v>11.92</v>
      </c>
      <c r="G364" s="58">
        <v>45</v>
      </c>
      <c r="H364" s="58">
        <v>0.01</v>
      </c>
      <c r="I364" s="58">
        <v>0.01</v>
      </c>
      <c r="J364" s="58">
        <v>4.95</v>
      </c>
      <c r="K364" s="58">
        <v>4.98</v>
      </c>
      <c r="L364" s="58">
        <v>0.69</v>
      </c>
    </row>
    <row r="365" spans="1:12" ht="92.25" thickBot="1">
      <c r="A365" s="61" t="s">
        <v>45</v>
      </c>
      <c r="B365" s="62" t="s">
        <v>114</v>
      </c>
      <c r="C365" s="55">
        <v>25</v>
      </c>
      <c r="D365" s="58">
        <v>2</v>
      </c>
      <c r="E365" s="58">
        <v>0.25</v>
      </c>
      <c r="F365" s="58">
        <v>12.05</v>
      </c>
      <c r="G365" s="58">
        <v>59</v>
      </c>
      <c r="H365" s="58">
        <v>0.04</v>
      </c>
      <c r="I365" s="58">
        <v>0.02</v>
      </c>
      <c r="J365" s="58">
        <v>0</v>
      </c>
      <c r="K365" s="58">
        <v>6</v>
      </c>
      <c r="L365" s="58">
        <v>0.5</v>
      </c>
    </row>
    <row r="366" spans="1:12" ht="92.25" thickBot="1">
      <c r="A366" s="61" t="s">
        <v>45</v>
      </c>
      <c r="B366" s="62" t="s">
        <v>144</v>
      </c>
      <c r="C366" s="55">
        <v>40</v>
      </c>
      <c r="D366" s="58">
        <v>2.24</v>
      </c>
      <c r="E366" s="58">
        <v>0.48</v>
      </c>
      <c r="F366" s="58">
        <v>19.76</v>
      </c>
      <c r="G366" s="58">
        <v>92.8</v>
      </c>
      <c r="H366" s="58">
        <v>0.05</v>
      </c>
      <c r="I366" s="58">
        <v>0.02</v>
      </c>
      <c r="J366" s="58">
        <v>0</v>
      </c>
      <c r="K366" s="58">
        <v>9.6</v>
      </c>
      <c r="L366" s="58">
        <v>1.28</v>
      </c>
    </row>
    <row r="367" spans="1:12" ht="46.5" thickBot="1">
      <c r="A367" s="121"/>
      <c r="B367" s="124" t="s">
        <v>37</v>
      </c>
      <c r="C367" s="55"/>
      <c r="D367" s="56">
        <f>SUM(D361:D366)</f>
        <v>17.56</v>
      </c>
      <c r="E367" s="56">
        <f aca="true" t="shared" si="50" ref="E367:L367">SUM(E361:E366)</f>
        <v>18.64</v>
      </c>
      <c r="F367" s="56">
        <f t="shared" si="50"/>
        <v>74.91000000000001</v>
      </c>
      <c r="G367" s="56">
        <f t="shared" si="50"/>
        <v>633.5999999999999</v>
      </c>
      <c r="H367" s="56">
        <f t="shared" si="50"/>
        <v>0.37999999999999995</v>
      </c>
      <c r="I367" s="56">
        <f t="shared" si="50"/>
        <v>0.4</v>
      </c>
      <c r="J367" s="56">
        <f t="shared" si="50"/>
        <v>35.550000000000004</v>
      </c>
      <c r="K367" s="56">
        <f t="shared" si="50"/>
        <v>119.53</v>
      </c>
      <c r="L367" s="56">
        <f t="shared" si="50"/>
        <v>5.319999999999999</v>
      </c>
    </row>
    <row r="368" spans="1:12" ht="46.5" thickBot="1">
      <c r="A368" s="182" t="s">
        <v>207</v>
      </c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50"/>
    </row>
    <row r="369" spans="1:12" ht="92.25" thickBot="1">
      <c r="A369" s="121">
        <v>22</v>
      </c>
      <c r="B369" s="62" t="s">
        <v>47</v>
      </c>
      <c r="C369" s="64" t="s">
        <v>166</v>
      </c>
      <c r="D369" s="58">
        <v>12.8</v>
      </c>
      <c r="E369" s="58">
        <v>11.5</v>
      </c>
      <c r="F369" s="58">
        <v>31.13</v>
      </c>
      <c r="G369" s="58">
        <v>343.27</v>
      </c>
      <c r="H369" s="58">
        <v>0.07</v>
      </c>
      <c r="I369" s="58">
        <v>0.14</v>
      </c>
      <c r="J369" s="58">
        <v>0.39</v>
      </c>
      <c r="K369" s="58">
        <v>216.32</v>
      </c>
      <c r="L369" s="58">
        <v>0.72</v>
      </c>
    </row>
    <row r="370" spans="1:12" ht="46.5" thickBot="1">
      <c r="A370" s="121">
        <v>13</v>
      </c>
      <c r="B370" s="54" t="s">
        <v>9</v>
      </c>
      <c r="C370" s="63" t="s">
        <v>173</v>
      </c>
      <c r="D370" s="58">
        <v>0</v>
      </c>
      <c r="E370" s="58">
        <v>0</v>
      </c>
      <c r="F370" s="58">
        <v>8.98</v>
      </c>
      <c r="G370" s="58">
        <v>30</v>
      </c>
      <c r="H370" s="58">
        <v>0</v>
      </c>
      <c r="I370" s="58">
        <v>0</v>
      </c>
      <c r="J370" s="58">
        <v>0</v>
      </c>
      <c r="K370" s="58">
        <v>0.27</v>
      </c>
      <c r="L370" s="58">
        <v>0.05</v>
      </c>
    </row>
    <row r="371" spans="1:12" ht="46.5" thickBot="1">
      <c r="A371" s="61">
        <v>21</v>
      </c>
      <c r="B371" s="125" t="s">
        <v>38</v>
      </c>
      <c r="C371" s="64" t="s">
        <v>239</v>
      </c>
      <c r="D371" s="56">
        <v>4.06</v>
      </c>
      <c r="E371" s="56">
        <v>4.48</v>
      </c>
      <c r="F371" s="56">
        <v>5.6</v>
      </c>
      <c r="G371" s="56">
        <v>82.6</v>
      </c>
      <c r="H371" s="56">
        <v>0.04</v>
      </c>
      <c r="I371" s="56">
        <v>0.24</v>
      </c>
      <c r="J371" s="56">
        <v>0.98</v>
      </c>
      <c r="K371" s="56">
        <v>168</v>
      </c>
      <c r="L371" s="56">
        <v>0.14</v>
      </c>
    </row>
    <row r="372" spans="1:12" ht="275.25" thickBot="1">
      <c r="A372" s="61" t="s">
        <v>45</v>
      </c>
      <c r="B372" s="62" t="s">
        <v>134</v>
      </c>
      <c r="C372" s="64" t="s">
        <v>240</v>
      </c>
      <c r="D372" s="58">
        <v>0.36</v>
      </c>
      <c r="E372" s="58">
        <v>0.48</v>
      </c>
      <c r="F372" s="58">
        <v>8.4</v>
      </c>
      <c r="G372" s="58">
        <v>34.8</v>
      </c>
      <c r="H372" s="58">
        <v>0.01</v>
      </c>
      <c r="I372" s="58">
        <v>0.01</v>
      </c>
      <c r="J372" s="58">
        <v>0</v>
      </c>
      <c r="K372" s="58">
        <v>1.44</v>
      </c>
      <c r="L372" s="58">
        <v>0.1</v>
      </c>
    </row>
    <row r="373" spans="1:12" ht="46.5" thickBot="1">
      <c r="A373" s="115"/>
      <c r="B373" s="62" t="s">
        <v>8</v>
      </c>
      <c r="C373" s="64"/>
      <c r="D373" s="58">
        <f>SUM(D369:D372)</f>
        <v>17.22</v>
      </c>
      <c r="E373" s="58">
        <f aca="true" t="shared" si="51" ref="E373:L373">SUM(E369:E372)</f>
        <v>16.46</v>
      </c>
      <c r="F373" s="58">
        <f t="shared" si="51"/>
        <v>54.11</v>
      </c>
      <c r="G373" s="58">
        <f t="shared" si="51"/>
        <v>490.67</v>
      </c>
      <c r="H373" s="58">
        <f t="shared" si="51"/>
        <v>0.12000000000000001</v>
      </c>
      <c r="I373" s="58">
        <f t="shared" si="51"/>
        <v>0.39</v>
      </c>
      <c r="J373" s="58">
        <f t="shared" si="51"/>
        <v>1.37</v>
      </c>
      <c r="K373" s="58">
        <f t="shared" si="51"/>
        <v>386.03000000000003</v>
      </c>
      <c r="L373" s="58">
        <f t="shared" si="51"/>
        <v>1.01</v>
      </c>
    </row>
    <row r="374" spans="1:12" ht="53.25" thickBot="1">
      <c r="A374" s="61"/>
      <c r="B374" s="62"/>
      <c r="C374" s="64"/>
      <c r="D374" s="111" t="s">
        <v>1</v>
      </c>
      <c r="E374" s="112" t="s">
        <v>2</v>
      </c>
      <c r="F374" s="112" t="s">
        <v>3</v>
      </c>
      <c r="G374" s="126" t="s">
        <v>4</v>
      </c>
      <c r="H374" s="113" t="s">
        <v>251</v>
      </c>
      <c r="I374" s="113" t="s">
        <v>252</v>
      </c>
      <c r="J374" s="112" t="s">
        <v>6</v>
      </c>
      <c r="K374" s="112" t="s">
        <v>31</v>
      </c>
      <c r="L374" s="112" t="s">
        <v>5</v>
      </c>
    </row>
    <row r="375" spans="1:12" ht="46.5" thickBot="1">
      <c r="A375" s="61"/>
      <c r="B375" s="127" t="s">
        <v>12</v>
      </c>
      <c r="C375" s="64"/>
      <c r="D375" s="58">
        <f>SUM(D355+D359+D367+D373)</f>
        <v>45.809999999999995</v>
      </c>
      <c r="E375" s="58">
        <f aca="true" t="shared" si="52" ref="E375:L375">SUM(E355+E359+E367+E373)</f>
        <v>48.040000000000006</v>
      </c>
      <c r="F375" s="58">
        <f t="shared" si="52"/>
        <v>193.42000000000002</v>
      </c>
      <c r="G375" s="58">
        <f t="shared" si="52"/>
        <v>1565.69</v>
      </c>
      <c r="H375" s="58">
        <f t="shared" si="52"/>
        <v>0.69</v>
      </c>
      <c r="I375" s="58">
        <f t="shared" si="52"/>
        <v>0.89</v>
      </c>
      <c r="J375" s="58">
        <f t="shared" si="52"/>
        <v>47.15</v>
      </c>
      <c r="K375" s="58">
        <f t="shared" si="52"/>
        <v>840.3500000000001</v>
      </c>
      <c r="L375" s="58">
        <f t="shared" si="52"/>
        <v>7.779999999999999</v>
      </c>
    </row>
    <row r="376" spans="1:12" ht="46.5" thickBot="1">
      <c r="A376" s="61"/>
      <c r="B376" s="127" t="s">
        <v>13</v>
      </c>
      <c r="C376" s="64"/>
      <c r="D376" s="58">
        <v>39.9</v>
      </c>
      <c r="E376" s="58">
        <v>44.65</v>
      </c>
      <c r="F376" s="58">
        <v>192.85</v>
      </c>
      <c r="G376" s="58">
        <v>1330</v>
      </c>
      <c r="H376" s="58">
        <v>0.76</v>
      </c>
      <c r="I376" s="58">
        <v>0.86</v>
      </c>
      <c r="J376" s="58">
        <v>42.75</v>
      </c>
      <c r="K376" s="58">
        <v>760</v>
      </c>
      <c r="L376" s="58">
        <v>9.5</v>
      </c>
    </row>
    <row r="377" spans="1:12" ht="91.5" thickBot="1">
      <c r="A377" s="115"/>
      <c r="B377" s="128" t="s">
        <v>14</v>
      </c>
      <c r="C377" s="112"/>
      <c r="D377" s="129">
        <f aca="true" t="shared" si="53" ref="D377:L377">D375*100/D376</f>
        <v>114.81203007518795</v>
      </c>
      <c r="E377" s="129">
        <f t="shared" si="53"/>
        <v>107.59238521836508</v>
      </c>
      <c r="F377" s="129">
        <f t="shared" si="53"/>
        <v>100.29556650246306</v>
      </c>
      <c r="G377" s="129">
        <f t="shared" si="53"/>
        <v>117.72105263157894</v>
      </c>
      <c r="H377" s="129">
        <f t="shared" si="53"/>
        <v>90.78947368421052</v>
      </c>
      <c r="I377" s="129">
        <f t="shared" si="53"/>
        <v>103.48837209302326</v>
      </c>
      <c r="J377" s="129">
        <f t="shared" si="53"/>
        <v>110.29239766081871</v>
      </c>
      <c r="K377" s="129">
        <f t="shared" si="53"/>
        <v>110.57236842105264</v>
      </c>
      <c r="L377" s="129">
        <f t="shared" si="53"/>
        <v>81.89473684210525</v>
      </c>
    </row>
    <row r="378" spans="1:12" ht="45.75">
      <c r="A378" s="130"/>
      <c r="B378" s="102"/>
      <c r="C378" s="131"/>
      <c r="D378" s="132"/>
      <c r="E378" s="132"/>
      <c r="F378" s="132"/>
      <c r="G378" s="132"/>
      <c r="H378" s="132"/>
      <c r="I378" s="132"/>
      <c r="J378" s="132"/>
      <c r="K378" s="132"/>
      <c r="L378" s="132"/>
    </row>
    <row r="379" spans="1:12" ht="45.75">
      <c r="A379" s="130"/>
      <c r="B379" s="100" t="s">
        <v>182</v>
      </c>
      <c r="C379" s="100"/>
      <c r="E379" s="132"/>
      <c r="F379" s="132"/>
      <c r="G379" s="132"/>
      <c r="H379" s="132"/>
      <c r="I379" s="132"/>
      <c r="J379" s="132"/>
      <c r="K379" s="132"/>
      <c r="L379" s="132"/>
    </row>
    <row r="380" spans="1:12" ht="53.25">
      <c r="A380" s="130"/>
      <c r="B380" s="100" t="s">
        <v>254</v>
      </c>
      <c r="L380" s="132"/>
    </row>
    <row r="381" spans="1:12" ht="45.75">
      <c r="A381" s="130"/>
      <c r="B381" s="100" t="s">
        <v>180</v>
      </c>
      <c r="L381" s="132"/>
    </row>
    <row r="382" spans="1:12" ht="45.75">
      <c r="A382" s="130"/>
      <c r="B382" s="100" t="s">
        <v>181</v>
      </c>
      <c r="L382" s="132"/>
    </row>
    <row r="383" spans="1:12" ht="45.75">
      <c r="A383" s="130"/>
      <c r="K383" s="132"/>
      <c r="L383" s="132"/>
    </row>
    <row r="384" spans="1:12" ht="45.75">
      <c r="A384" s="174" t="s">
        <v>105</v>
      </c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</row>
    <row r="385" spans="1:12" ht="45.75">
      <c r="A385" s="174" t="s">
        <v>106</v>
      </c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</row>
    <row r="386" spans="1:12" ht="45.75" customHeight="1">
      <c r="A386" s="175" t="s">
        <v>260</v>
      </c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</row>
    <row r="387" spans="1:13" ht="46.5" thickBot="1">
      <c r="A387" s="176"/>
      <c r="B387" s="176"/>
      <c r="C387" s="176"/>
      <c r="D387" s="176"/>
      <c r="E387" s="176"/>
      <c r="F387" s="176"/>
      <c r="G387" s="176"/>
      <c r="H387" s="176"/>
      <c r="I387" s="176"/>
      <c r="J387" s="176"/>
      <c r="K387" s="176"/>
      <c r="L387" s="176"/>
      <c r="M387" s="120"/>
    </row>
    <row r="388" spans="1:12" ht="46.5" thickBot="1">
      <c r="A388" s="177" t="s">
        <v>39</v>
      </c>
      <c r="B388" s="152" t="s">
        <v>100</v>
      </c>
      <c r="C388" s="104" t="s">
        <v>27</v>
      </c>
      <c r="D388" s="179" t="s">
        <v>28</v>
      </c>
      <c r="E388" s="180"/>
      <c r="F388" s="181"/>
      <c r="G388" s="152" t="s">
        <v>101</v>
      </c>
      <c r="H388" s="179" t="s">
        <v>29</v>
      </c>
      <c r="I388" s="180"/>
      <c r="J388" s="181"/>
      <c r="K388" s="179" t="s">
        <v>30</v>
      </c>
      <c r="L388" s="181"/>
    </row>
    <row r="389" spans="1:13" s="120" customFormat="1" ht="53.25" thickBot="1">
      <c r="A389" s="178"/>
      <c r="B389" s="103"/>
      <c r="C389" s="105"/>
      <c r="D389" s="111" t="s">
        <v>1</v>
      </c>
      <c r="E389" s="112" t="s">
        <v>2</v>
      </c>
      <c r="F389" s="112" t="s">
        <v>3</v>
      </c>
      <c r="G389" s="103"/>
      <c r="H389" s="113" t="s">
        <v>251</v>
      </c>
      <c r="I389" s="135" t="s">
        <v>252</v>
      </c>
      <c r="J389" s="112" t="s">
        <v>6</v>
      </c>
      <c r="K389" s="112" t="s">
        <v>31</v>
      </c>
      <c r="L389" s="112" t="s">
        <v>5</v>
      </c>
      <c r="M389" s="100"/>
    </row>
    <row r="390" spans="1:12" ht="46.5" thickBot="1">
      <c r="A390" s="110">
        <v>1</v>
      </c>
      <c r="B390" s="116">
        <v>2</v>
      </c>
      <c r="C390" s="117">
        <v>3</v>
      </c>
      <c r="D390" s="136">
        <v>4</v>
      </c>
      <c r="E390" s="116">
        <v>5</v>
      </c>
      <c r="F390" s="116">
        <v>6</v>
      </c>
      <c r="G390" s="116">
        <v>7</v>
      </c>
      <c r="H390" s="137">
        <v>8</v>
      </c>
      <c r="I390" s="116">
        <v>9</v>
      </c>
      <c r="J390" s="116">
        <v>10</v>
      </c>
      <c r="K390" s="137">
        <v>11</v>
      </c>
      <c r="L390" s="116">
        <v>12</v>
      </c>
    </row>
    <row r="391" spans="1:12" ht="46.5" thickBot="1">
      <c r="A391" s="179" t="s">
        <v>7</v>
      </c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1"/>
    </row>
    <row r="392" spans="1:12" ht="92.25" thickBot="1">
      <c r="A392" s="61">
        <v>39</v>
      </c>
      <c r="B392" s="62" t="s">
        <v>23</v>
      </c>
      <c r="C392" s="55">
        <v>150</v>
      </c>
      <c r="D392" s="58">
        <v>4.39</v>
      </c>
      <c r="E392" s="58">
        <v>4.36</v>
      </c>
      <c r="F392" s="58">
        <v>14.99</v>
      </c>
      <c r="G392" s="58">
        <v>116.25</v>
      </c>
      <c r="H392" s="58">
        <v>0.06</v>
      </c>
      <c r="I392" s="58">
        <v>0.11</v>
      </c>
      <c r="J392" s="58">
        <v>0.75</v>
      </c>
      <c r="K392" s="58">
        <v>141</v>
      </c>
      <c r="L392" s="58">
        <v>0.27</v>
      </c>
    </row>
    <row r="393" spans="1:12" ht="46.5" thickBot="1">
      <c r="A393" s="61">
        <v>15</v>
      </c>
      <c r="B393" s="62" t="s">
        <v>18</v>
      </c>
      <c r="C393" s="55">
        <v>150</v>
      </c>
      <c r="D393" s="58">
        <v>1</v>
      </c>
      <c r="E393" s="58">
        <v>1.08</v>
      </c>
      <c r="F393" s="58">
        <v>10.83</v>
      </c>
      <c r="G393" s="58">
        <v>75</v>
      </c>
      <c r="H393" s="123">
        <v>0.03</v>
      </c>
      <c r="I393" s="123">
        <v>0.03</v>
      </c>
      <c r="J393" s="123">
        <v>0.83</v>
      </c>
      <c r="K393" s="58">
        <v>91.48</v>
      </c>
      <c r="L393" s="58">
        <v>0.02</v>
      </c>
    </row>
    <row r="394" spans="1:12" ht="92.25" thickBot="1">
      <c r="A394" s="61">
        <v>101</v>
      </c>
      <c r="B394" s="62" t="s">
        <v>233</v>
      </c>
      <c r="C394" s="63" t="s">
        <v>235</v>
      </c>
      <c r="D394" s="58">
        <v>3</v>
      </c>
      <c r="E394" s="58">
        <v>3.46</v>
      </c>
      <c r="F394" s="58">
        <v>9.75</v>
      </c>
      <c r="G394" s="58">
        <v>78</v>
      </c>
      <c r="H394" s="58">
        <v>0.02</v>
      </c>
      <c r="I394" s="58">
        <v>0.02</v>
      </c>
      <c r="J394" s="58">
        <v>0</v>
      </c>
      <c r="K394" s="58">
        <v>4.48</v>
      </c>
      <c r="L394" s="58">
        <v>0.23</v>
      </c>
    </row>
    <row r="395" spans="1:12" ht="46.5" thickBot="1">
      <c r="A395" s="61"/>
      <c r="B395" s="62" t="s">
        <v>8</v>
      </c>
      <c r="C395" s="64"/>
      <c r="D395" s="58">
        <f>SUM(D392:D394)</f>
        <v>8.39</v>
      </c>
      <c r="E395" s="58">
        <f aca="true" t="shared" si="54" ref="E395:L395">SUM(E392+E393+E394)</f>
        <v>8.9</v>
      </c>
      <c r="F395" s="58">
        <f t="shared" si="54"/>
        <v>35.57</v>
      </c>
      <c r="G395" s="58">
        <f t="shared" si="54"/>
        <v>269.25</v>
      </c>
      <c r="H395" s="58">
        <f t="shared" si="54"/>
        <v>0.11</v>
      </c>
      <c r="I395" s="58">
        <f t="shared" si="54"/>
        <v>0.16</v>
      </c>
      <c r="J395" s="58">
        <f t="shared" si="54"/>
        <v>1.58</v>
      </c>
      <c r="K395" s="58">
        <f t="shared" si="54"/>
        <v>236.96</v>
      </c>
      <c r="L395" s="58">
        <f t="shared" si="54"/>
        <v>0.52</v>
      </c>
    </row>
    <row r="396" spans="1:12" ht="46.5" thickBot="1">
      <c r="A396" s="179" t="s">
        <v>107</v>
      </c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1"/>
    </row>
    <row r="397" spans="1:12" ht="46.5" thickBot="1">
      <c r="A397" s="61" t="s">
        <v>45</v>
      </c>
      <c r="B397" s="62" t="s">
        <v>108</v>
      </c>
      <c r="C397" s="63" t="s">
        <v>238</v>
      </c>
      <c r="D397" s="58">
        <v>0.18</v>
      </c>
      <c r="E397" s="58">
        <v>0.09</v>
      </c>
      <c r="F397" s="58">
        <v>9.09</v>
      </c>
      <c r="G397" s="58">
        <v>41.4</v>
      </c>
      <c r="H397" s="58">
        <v>0.01</v>
      </c>
      <c r="I397" s="58">
        <v>0.01</v>
      </c>
      <c r="J397" s="58">
        <v>1.8</v>
      </c>
      <c r="K397" s="58">
        <v>6.3</v>
      </c>
      <c r="L397" s="58">
        <v>0.18</v>
      </c>
    </row>
    <row r="398" spans="1:12" ht="54" thickBot="1">
      <c r="A398" s="61" t="s">
        <v>45</v>
      </c>
      <c r="B398" s="62" t="s">
        <v>255</v>
      </c>
      <c r="C398" s="55">
        <v>100</v>
      </c>
      <c r="D398" s="58">
        <v>0.35</v>
      </c>
      <c r="E398" s="58">
        <v>0.28</v>
      </c>
      <c r="F398" s="58">
        <v>9.28</v>
      </c>
      <c r="G398" s="58">
        <v>42.3</v>
      </c>
      <c r="H398" s="58">
        <v>0.03</v>
      </c>
      <c r="I398" s="58">
        <v>0.04</v>
      </c>
      <c r="J398" s="58">
        <v>4.5</v>
      </c>
      <c r="K398" s="58">
        <v>17.1</v>
      </c>
      <c r="L398" s="58">
        <v>2.08</v>
      </c>
    </row>
    <row r="399" spans="1:12" ht="46.5" thickBot="1">
      <c r="A399" s="61"/>
      <c r="B399" s="62" t="s">
        <v>8</v>
      </c>
      <c r="C399" s="64"/>
      <c r="D399" s="58">
        <f>SUM(D397:D398)</f>
        <v>0.53</v>
      </c>
      <c r="E399" s="58">
        <f aca="true" t="shared" si="55" ref="E399:L399">SUM(E397:E398)</f>
        <v>0.37</v>
      </c>
      <c r="F399" s="58">
        <f t="shared" si="55"/>
        <v>18.369999999999997</v>
      </c>
      <c r="G399" s="58">
        <f t="shared" si="55"/>
        <v>83.69999999999999</v>
      </c>
      <c r="H399" s="58">
        <f t="shared" si="55"/>
        <v>0.04</v>
      </c>
      <c r="I399" s="58">
        <f t="shared" si="55"/>
        <v>0.05</v>
      </c>
      <c r="J399" s="58">
        <f t="shared" si="55"/>
        <v>6.3</v>
      </c>
      <c r="K399" s="58">
        <f t="shared" si="55"/>
        <v>23.400000000000002</v>
      </c>
      <c r="L399" s="58">
        <f t="shared" si="55"/>
        <v>2.2600000000000002</v>
      </c>
    </row>
    <row r="400" spans="1:12" ht="46.5" thickBot="1">
      <c r="A400" s="179" t="s">
        <v>10</v>
      </c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1"/>
    </row>
    <row r="401" spans="1:12" ht="92.25" thickBot="1">
      <c r="A401" s="121">
        <v>81</v>
      </c>
      <c r="B401" s="124" t="s">
        <v>194</v>
      </c>
      <c r="C401" s="55">
        <v>45</v>
      </c>
      <c r="D401" s="58">
        <v>0.62</v>
      </c>
      <c r="E401" s="58">
        <v>3.41</v>
      </c>
      <c r="F401" s="58">
        <v>3.41</v>
      </c>
      <c r="G401" s="58">
        <v>48.75</v>
      </c>
      <c r="H401" s="122">
        <v>0.01</v>
      </c>
      <c r="I401" s="58">
        <v>0.04</v>
      </c>
      <c r="J401" s="58">
        <v>3.38</v>
      </c>
      <c r="K401" s="58">
        <v>14.89</v>
      </c>
      <c r="L401" s="58">
        <v>0.56</v>
      </c>
    </row>
    <row r="402" spans="1:12" ht="92.25" thickBot="1">
      <c r="A402" s="61">
        <v>25</v>
      </c>
      <c r="B402" s="62" t="s">
        <v>59</v>
      </c>
      <c r="C402" s="63" t="s">
        <v>165</v>
      </c>
      <c r="D402" s="58">
        <v>3.28</v>
      </c>
      <c r="E402" s="58">
        <v>4.8</v>
      </c>
      <c r="F402" s="58">
        <v>16.76</v>
      </c>
      <c r="G402" s="58">
        <v>116.11</v>
      </c>
      <c r="H402" s="58">
        <v>0.09</v>
      </c>
      <c r="I402" s="58">
        <v>0.06</v>
      </c>
      <c r="J402" s="58">
        <v>6.57</v>
      </c>
      <c r="K402" s="58">
        <v>23.77</v>
      </c>
      <c r="L402" s="58">
        <v>0.86</v>
      </c>
    </row>
    <row r="403" spans="1:12" ht="46.5" thickBot="1">
      <c r="A403" s="121">
        <v>44</v>
      </c>
      <c r="B403" s="62" t="s">
        <v>204</v>
      </c>
      <c r="C403" s="64" t="s">
        <v>146</v>
      </c>
      <c r="D403" s="58">
        <v>8.42</v>
      </c>
      <c r="E403" s="58">
        <v>5.73</v>
      </c>
      <c r="F403" s="58">
        <v>41.94</v>
      </c>
      <c r="G403" s="58">
        <v>98</v>
      </c>
      <c r="H403" s="58">
        <v>0.06</v>
      </c>
      <c r="I403" s="58">
        <v>0.05</v>
      </c>
      <c r="J403" s="58">
        <v>0.5</v>
      </c>
      <c r="K403" s="58">
        <v>36.26</v>
      </c>
      <c r="L403" s="58">
        <v>0.46</v>
      </c>
    </row>
    <row r="404" spans="1:12" ht="46.5" thickBot="1">
      <c r="A404" s="121">
        <v>8</v>
      </c>
      <c r="B404" s="62" t="s">
        <v>55</v>
      </c>
      <c r="C404" s="55">
        <v>120</v>
      </c>
      <c r="D404" s="58">
        <v>2.44</v>
      </c>
      <c r="E404" s="58">
        <v>4.19</v>
      </c>
      <c r="F404" s="58">
        <v>14.45</v>
      </c>
      <c r="G404" s="58">
        <v>113.6</v>
      </c>
      <c r="H404" s="58">
        <v>0.11</v>
      </c>
      <c r="I404" s="58">
        <v>0.08</v>
      </c>
      <c r="J404" s="58">
        <v>14.36</v>
      </c>
      <c r="K404" s="58">
        <v>36.94</v>
      </c>
      <c r="L404" s="58">
        <v>0.85</v>
      </c>
    </row>
    <row r="405" spans="1:12" ht="46.5" thickBot="1">
      <c r="A405" s="61">
        <v>20</v>
      </c>
      <c r="B405" s="62" t="s">
        <v>43</v>
      </c>
      <c r="C405" s="55">
        <v>150</v>
      </c>
      <c r="D405" s="58">
        <v>0</v>
      </c>
      <c r="E405" s="58">
        <v>0</v>
      </c>
      <c r="F405" s="58">
        <v>13.5</v>
      </c>
      <c r="G405" s="58">
        <v>46.5</v>
      </c>
      <c r="H405" s="58">
        <v>0</v>
      </c>
      <c r="I405" s="58">
        <v>0</v>
      </c>
      <c r="J405" s="58">
        <v>0</v>
      </c>
      <c r="K405" s="58">
        <v>0.37</v>
      </c>
      <c r="L405" s="58">
        <v>0.06</v>
      </c>
    </row>
    <row r="406" spans="1:12" ht="92.25" thickBot="1">
      <c r="A406" s="61" t="s">
        <v>45</v>
      </c>
      <c r="B406" s="62" t="s">
        <v>114</v>
      </c>
      <c r="C406" s="55">
        <v>25</v>
      </c>
      <c r="D406" s="58">
        <v>2</v>
      </c>
      <c r="E406" s="58">
        <v>0.25</v>
      </c>
      <c r="F406" s="58">
        <v>12.05</v>
      </c>
      <c r="G406" s="58">
        <v>59</v>
      </c>
      <c r="H406" s="58">
        <v>0.04</v>
      </c>
      <c r="I406" s="58">
        <v>0.02</v>
      </c>
      <c r="J406" s="58">
        <v>0</v>
      </c>
      <c r="K406" s="58">
        <v>6</v>
      </c>
      <c r="L406" s="58">
        <v>0.5</v>
      </c>
    </row>
    <row r="407" spans="1:12" ht="92.25" thickBot="1">
      <c r="A407" s="61" t="s">
        <v>45</v>
      </c>
      <c r="B407" s="62" t="s">
        <v>144</v>
      </c>
      <c r="C407" s="55">
        <v>40</v>
      </c>
      <c r="D407" s="58">
        <v>2.24</v>
      </c>
      <c r="E407" s="58">
        <v>0.48</v>
      </c>
      <c r="F407" s="58">
        <v>19.76</v>
      </c>
      <c r="G407" s="58">
        <v>92.8</v>
      </c>
      <c r="H407" s="58">
        <v>0.05</v>
      </c>
      <c r="I407" s="58">
        <v>0.02</v>
      </c>
      <c r="J407" s="58">
        <v>0</v>
      </c>
      <c r="K407" s="58">
        <v>9.6</v>
      </c>
      <c r="L407" s="58">
        <v>1.28</v>
      </c>
    </row>
    <row r="408" spans="1:12" ht="46.5" thickBot="1">
      <c r="A408" s="121"/>
      <c r="B408" s="124" t="s">
        <v>37</v>
      </c>
      <c r="C408" s="55"/>
      <c r="D408" s="56">
        <f>SUM(D401:D407)</f>
        <v>19</v>
      </c>
      <c r="E408" s="56">
        <f aca="true" t="shared" si="56" ref="E408:L408">SUM(E401:E407)</f>
        <v>18.860000000000003</v>
      </c>
      <c r="F408" s="56">
        <f t="shared" si="56"/>
        <v>121.87</v>
      </c>
      <c r="G408" s="56">
        <f t="shared" si="56"/>
        <v>574.76</v>
      </c>
      <c r="H408" s="56">
        <f t="shared" si="56"/>
        <v>0.35999999999999993</v>
      </c>
      <c r="I408" s="56">
        <f t="shared" si="56"/>
        <v>0.2700000000000001</v>
      </c>
      <c r="J408" s="56">
        <f t="shared" si="56"/>
        <v>24.81</v>
      </c>
      <c r="K408" s="56">
        <f t="shared" si="56"/>
        <v>127.82999999999998</v>
      </c>
      <c r="L408" s="56">
        <f t="shared" si="56"/>
        <v>4.57</v>
      </c>
    </row>
    <row r="409" spans="1:12" ht="46.5" thickBot="1">
      <c r="A409" s="182" t="s">
        <v>207</v>
      </c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  <c r="L409" s="150"/>
    </row>
    <row r="410" spans="1:12" ht="46.5" thickBot="1">
      <c r="A410" s="121">
        <v>73</v>
      </c>
      <c r="B410" s="62" t="s">
        <v>212</v>
      </c>
      <c r="C410" s="64" t="s">
        <v>216</v>
      </c>
      <c r="D410" s="58">
        <v>4.48</v>
      </c>
      <c r="E410" s="58">
        <v>6.2</v>
      </c>
      <c r="F410" s="58">
        <v>11.5</v>
      </c>
      <c r="G410" s="58">
        <v>152.6</v>
      </c>
      <c r="H410" s="58">
        <v>0.1</v>
      </c>
      <c r="I410" s="58">
        <v>0.1</v>
      </c>
      <c r="J410" s="58">
        <v>4</v>
      </c>
      <c r="K410" s="58">
        <v>62.66</v>
      </c>
      <c r="L410" s="58">
        <v>1.03</v>
      </c>
    </row>
    <row r="411" spans="1:12" ht="46.5" thickBot="1">
      <c r="A411" s="53">
        <v>31</v>
      </c>
      <c r="B411" s="54" t="s">
        <v>11</v>
      </c>
      <c r="C411" s="55" t="s">
        <v>174</v>
      </c>
      <c r="D411" s="56">
        <v>0.04</v>
      </c>
      <c r="E411" s="56">
        <v>0</v>
      </c>
      <c r="F411" s="56">
        <v>9.1</v>
      </c>
      <c r="G411" s="56">
        <v>35</v>
      </c>
      <c r="H411" s="56">
        <v>0</v>
      </c>
      <c r="I411" s="56">
        <v>0</v>
      </c>
      <c r="J411" s="56">
        <v>1.6</v>
      </c>
      <c r="K411" s="56">
        <v>1.87</v>
      </c>
      <c r="L411" s="56">
        <v>0.08</v>
      </c>
    </row>
    <row r="412" spans="1:12" ht="92.25" thickBot="1">
      <c r="A412" s="61" t="s">
        <v>45</v>
      </c>
      <c r="B412" s="62" t="s">
        <v>114</v>
      </c>
      <c r="C412" s="55">
        <v>20</v>
      </c>
      <c r="D412" s="58">
        <v>1.6</v>
      </c>
      <c r="E412" s="58">
        <v>0.2</v>
      </c>
      <c r="F412" s="58">
        <v>9.64</v>
      </c>
      <c r="G412" s="58">
        <v>47.2</v>
      </c>
      <c r="H412" s="58">
        <v>0.03</v>
      </c>
      <c r="I412" s="58">
        <v>0.01</v>
      </c>
      <c r="J412" s="58">
        <v>0</v>
      </c>
      <c r="K412" s="58">
        <v>4.8</v>
      </c>
      <c r="L412" s="58">
        <v>0.4</v>
      </c>
    </row>
    <row r="413" spans="1:12" ht="46.5" thickBot="1">
      <c r="A413" s="61">
        <v>21</v>
      </c>
      <c r="B413" s="125" t="s">
        <v>38</v>
      </c>
      <c r="C413" s="64" t="s">
        <v>239</v>
      </c>
      <c r="D413" s="56">
        <v>4.06</v>
      </c>
      <c r="E413" s="56">
        <v>4.48</v>
      </c>
      <c r="F413" s="56">
        <v>5.6</v>
      </c>
      <c r="G413" s="56">
        <v>82.6</v>
      </c>
      <c r="H413" s="56">
        <v>0.04</v>
      </c>
      <c r="I413" s="56">
        <v>0.24</v>
      </c>
      <c r="J413" s="56">
        <v>0.98</v>
      </c>
      <c r="K413" s="56">
        <v>168</v>
      </c>
      <c r="L413" s="56">
        <v>0.14</v>
      </c>
    </row>
    <row r="414" spans="1:12" ht="46.5" thickBot="1">
      <c r="A414" s="61">
        <v>36</v>
      </c>
      <c r="B414" s="62" t="s">
        <v>132</v>
      </c>
      <c r="C414" s="64" t="s">
        <v>51</v>
      </c>
      <c r="D414" s="58">
        <v>4.5</v>
      </c>
      <c r="E414" s="58">
        <v>9.75</v>
      </c>
      <c r="F414" s="58">
        <v>24.92</v>
      </c>
      <c r="G414" s="58">
        <v>159.5</v>
      </c>
      <c r="H414" s="58">
        <v>0.07</v>
      </c>
      <c r="I414" s="58">
        <v>0.08</v>
      </c>
      <c r="J414" s="58">
        <v>0.19</v>
      </c>
      <c r="K414" s="58">
        <v>26.63</v>
      </c>
      <c r="L414" s="58">
        <v>0.47</v>
      </c>
    </row>
    <row r="415" spans="1:12" ht="46.5" thickBot="1">
      <c r="A415" s="61"/>
      <c r="B415" s="62" t="s">
        <v>37</v>
      </c>
      <c r="C415" s="55"/>
      <c r="D415" s="58">
        <f>SUM(D410:D414)</f>
        <v>14.68</v>
      </c>
      <c r="E415" s="58">
        <f aca="true" t="shared" si="57" ref="E415:L415">SUM(E410:E414)</f>
        <v>20.630000000000003</v>
      </c>
      <c r="F415" s="58">
        <f t="shared" si="57"/>
        <v>60.760000000000005</v>
      </c>
      <c r="G415" s="58">
        <f t="shared" si="57"/>
        <v>476.9</v>
      </c>
      <c r="H415" s="58">
        <f t="shared" si="57"/>
        <v>0.24000000000000002</v>
      </c>
      <c r="I415" s="58">
        <f t="shared" si="57"/>
        <v>0.43</v>
      </c>
      <c r="J415" s="58">
        <f t="shared" si="57"/>
        <v>6.7700000000000005</v>
      </c>
      <c r="K415" s="58">
        <f t="shared" si="57"/>
        <v>263.96</v>
      </c>
      <c r="L415" s="58">
        <f t="shared" si="57"/>
        <v>2.12</v>
      </c>
    </row>
    <row r="416" spans="1:12" ht="53.25" thickBot="1">
      <c r="A416" s="61"/>
      <c r="B416" s="62"/>
      <c r="C416" s="64"/>
      <c r="D416" s="111" t="s">
        <v>1</v>
      </c>
      <c r="E416" s="112" t="s">
        <v>2</v>
      </c>
      <c r="F416" s="112" t="s">
        <v>3</v>
      </c>
      <c r="G416" s="126" t="s">
        <v>4</v>
      </c>
      <c r="H416" s="113" t="s">
        <v>251</v>
      </c>
      <c r="I416" s="113" t="s">
        <v>252</v>
      </c>
      <c r="J416" s="112" t="s">
        <v>6</v>
      </c>
      <c r="K416" s="112" t="s">
        <v>31</v>
      </c>
      <c r="L416" s="112" t="s">
        <v>5</v>
      </c>
    </row>
    <row r="417" spans="1:13" ht="46.5" thickBot="1">
      <c r="A417" s="61"/>
      <c r="B417" s="127" t="s">
        <v>12</v>
      </c>
      <c r="C417" s="64"/>
      <c r="D417" s="58">
        <f>SUM(D395+D399+D408+D415)</f>
        <v>42.6</v>
      </c>
      <c r="E417" s="58">
        <f aca="true" t="shared" si="58" ref="E417:L417">SUM(E395+E399+E408+E415)</f>
        <v>48.760000000000005</v>
      </c>
      <c r="F417" s="58">
        <f t="shared" si="58"/>
        <v>236.57</v>
      </c>
      <c r="G417" s="58">
        <f t="shared" si="58"/>
        <v>1404.6100000000001</v>
      </c>
      <c r="H417" s="58">
        <f t="shared" si="58"/>
        <v>0.7499999999999999</v>
      </c>
      <c r="I417" s="58">
        <f t="shared" si="58"/>
        <v>0.9100000000000001</v>
      </c>
      <c r="J417" s="58">
        <f t="shared" si="58"/>
        <v>39.46</v>
      </c>
      <c r="K417" s="58">
        <f t="shared" si="58"/>
        <v>652.15</v>
      </c>
      <c r="L417" s="58">
        <f t="shared" si="58"/>
        <v>9.47</v>
      </c>
      <c r="M417" s="142"/>
    </row>
    <row r="418" spans="1:13" ht="46.5" thickBot="1">
      <c r="A418" s="143"/>
      <c r="B418" s="144" t="s">
        <v>13</v>
      </c>
      <c r="C418" s="145"/>
      <c r="D418" s="58">
        <v>39.9</v>
      </c>
      <c r="E418" s="58">
        <v>44.65</v>
      </c>
      <c r="F418" s="58">
        <v>192.85</v>
      </c>
      <c r="G418" s="58">
        <v>1330</v>
      </c>
      <c r="H418" s="58">
        <v>0.76</v>
      </c>
      <c r="I418" s="58">
        <v>0.86</v>
      </c>
      <c r="J418" s="58">
        <v>42.75</v>
      </c>
      <c r="K418" s="58">
        <v>760</v>
      </c>
      <c r="L418" s="58">
        <v>9.5</v>
      </c>
      <c r="M418" s="142"/>
    </row>
    <row r="419" spans="1:13" s="146" customFormat="1" ht="91.5" thickBot="1">
      <c r="A419" s="115"/>
      <c r="B419" s="128" t="s">
        <v>14</v>
      </c>
      <c r="C419" s="112"/>
      <c r="D419" s="129">
        <f>D417*100/D418</f>
        <v>106.76691729323309</v>
      </c>
      <c r="E419" s="129">
        <f aca="true" t="shared" si="59" ref="E419:L419">E417*100/E418</f>
        <v>109.20492721164617</v>
      </c>
      <c r="F419" s="129">
        <f t="shared" si="59"/>
        <v>122.67046927663988</v>
      </c>
      <c r="G419" s="129">
        <f t="shared" si="59"/>
        <v>105.60977443609022</v>
      </c>
      <c r="H419" s="129">
        <f t="shared" si="59"/>
        <v>98.68421052631577</v>
      </c>
      <c r="I419" s="129">
        <f t="shared" si="59"/>
        <v>105.8139534883721</v>
      </c>
      <c r="J419" s="129">
        <f t="shared" si="59"/>
        <v>92.30409356725146</v>
      </c>
      <c r="K419" s="129">
        <f t="shared" si="59"/>
        <v>85.8092105263158</v>
      </c>
      <c r="L419" s="129">
        <f t="shared" si="59"/>
        <v>99.6842105263158</v>
      </c>
      <c r="M419" s="142"/>
    </row>
    <row r="420" spans="1:12" ht="45.75">
      <c r="A420" s="130"/>
      <c r="B420" s="102"/>
      <c r="C420" s="131"/>
      <c r="D420" s="132"/>
      <c r="E420" s="132"/>
      <c r="F420" s="132"/>
      <c r="G420" s="132"/>
      <c r="H420" s="132"/>
      <c r="I420" s="132"/>
      <c r="J420" s="132"/>
      <c r="K420" s="132"/>
      <c r="L420" s="132"/>
    </row>
    <row r="421" spans="1:12" ht="45.75">
      <c r="A421" s="130"/>
      <c r="B421" s="100" t="s">
        <v>182</v>
      </c>
      <c r="C421" s="100"/>
      <c r="E421" s="132"/>
      <c r="F421" s="132"/>
      <c r="G421" s="132"/>
      <c r="H421" s="132"/>
      <c r="I421" s="132"/>
      <c r="J421" s="132"/>
      <c r="K421" s="132"/>
      <c r="L421" s="132"/>
    </row>
    <row r="422" spans="1:12" ht="53.25">
      <c r="A422" s="130"/>
      <c r="B422" s="100" t="s">
        <v>254</v>
      </c>
      <c r="L422" s="132"/>
    </row>
    <row r="423" spans="1:12" ht="45.75">
      <c r="A423" s="130"/>
      <c r="B423" s="100" t="s">
        <v>180</v>
      </c>
      <c r="L423" s="132"/>
    </row>
    <row r="424" spans="1:12" ht="45.75">
      <c r="A424" s="130"/>
      <c r="B424" s="100" t="s">
        <v>181</v>
      </c>
      <c r="L424" s="132"/>
    </row>
    <row r="425" spans="1:12" ht="46.5" thickBot="1">
      <c r="A425" s="130"/>
      <c r="B425" s="142"/>
      <c r="C425" s="147"/>
      <c r="D425" s="142"/>
      <c r="E425" s="142"/>
      <c r="F425" s="142"/>
      <c r="G425" s="142"/>
      <c r="H425" s="142"/>
      <c r="I425" s="142"/>
      <c r="J425" s="142"/>
      <c r="K425" s="132"/>
      <c r="L425" s="132"/>
    </row>
    <row r="426" spans="1:13" s="146" customFormat="1" ht="46.5" thickBot="1">
      <c r="A426" s="179" t="s">
        <v>261</v>
      </c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1"/>
      <c r="M426" s="142"/>
    </row>
    <row r="427" spans="1:12" ht="46.5" thickBot="1">
      <c r="A427" s="187"/>
      <c r="B427" s="176"/>
      <c r="C427" s="189"/>
      <c r="D427" s="107" t="s">
        <v>28</v>
      </c>
      <c r="E427" s="108"/>
      <c r="F427" s="109"/>
      <c r="G427" s="106" t="s">
        <v>101</v>
      </c>
      <c r="H427" s="107" t="s">
        <v>29</v>
      </c>
      <c r="I427" s="108"/>
      <c r="J427" s="109"/>
      <c r="K427" s="107" t="s">
        <v>30</v>
      </c>
      <c r="L427" s="109"/>
    </row>
    <row r="428" spans="1:12" ht="53.25" thickBot="1">
      <c r="A428" s="188"/>
      <c r="B428" s="108"/>
      <c r="C428" s="190"/>
      <c r="D428" s="111" t="s">
        <v>1</v>
      </c>
      <c r="E428" s="112" t="s">
        <v>2</v>
      </c>
      <c r="F428" s="112" t="s">
        <v>3</v>
      </c>
      <c r="G428" s="103"/>
      <c r="H428" s="113" t="s">
        <v>251</v>
      </c>
      <c r="I428" s="135" t="s">
        <v>252</v>
      </c>
      <c r="J428" s="112" t="s">
        <v>6</v>
      </c>
      <c r="K428" s="112" t="s">
        <v>31</v>
      </c>
      <c r="L428" s="112" t="s">
        <v>5</v>
      </c>
    </row>
    <row r="429" spans="1:12" ht="46.5" thickBot="1">
      <c r="A429" s="184" t="s">
        <v>48</v>
      </c>
      <c r="B429" s="185"/>
      <c r="C429" s="186"/>
      <c r="D429" s="56">
        <f aca="true" t="shared" si="60" ref="D429:L429">SUM(D38+D79+D121+D163+D207+D250+D292+D335+D375+D417)</f>
        <v>440.56000000000006</v>
      </c>
      <c r="E429" s="56">
        <f t="shared" si="60"/>
        <v>488.95</v>
      </c>
      <c r="F429" s="56">
        <f t="shared" si="60"/>
        <v>2079.6000000000004</v>
      </c>
      <c r="G429" s="56">
        <f t="shared" si="60"/>
        <v>14530.04</v>
      </c>
      <c r="H429" s="56">
        <f t="shared" si="60"/>
        <v>6.9879999999999995</v>
      </c>
      <c r="I429" s="56">
        <f t="shared" si="60"/>
        <v>8.059999999999999</v>
      </c>
      <c r="J429" s="56">
        <f t="shared" si="60"/>
        <v>416.09</v>
      </c>
      <c r="K429" s="56">
        <f t="shared" si="60"/>
        <v>7203.84</v>
      </c>
      <c r="L429" s="56">
        <f t="shared" si="60"/>
        <v>88.44500000000001</v>
      </c>
    </row>
    <row r="430" spans="1:12" ht="46.5" thickBot="1">
      <c r="A430" s="184" t="s">
        <v>49</v>
      </c>
      <c r="B430" s="185"/>
      <c r="C430" s="186"/>
      <c r="D430" s="58">
        <f>D429/10</f>
        <v>44.056000000000004</v>
      </c>
      <c r="E430" s="58">
        <f aca="true" t="shared" si="61" ref="E430:L430">E429/10</f>
        <v>48.894999999999996</v>
      </c>
      <c r="F430" s="58">
        <f t="shared" si="61"/>
        <v>207.96000000000004</v>
      </c>
      <c r="G430" s="58">
        <f t="shared" si="61"/>
        <v>1453.0040000000001</v>
      </c>
      <c r="H430" s="58">
        <f t="shared" si="61"/>
        <v>0.6988</v>
      </c>
      <c r="I430" s="58">
        <f t="shared" si="61"/>
        <v>0.8059999999999998</v>
      </c>
      <c r="J430" s="58">
        <f t="shared" si="61"/>
        <v>41.608999999999995</v>
      </c>
      <c r="K430" s="58">
        <f t="shared" si="61"/>
        <v>720.384</v>
      </c>
      <c r="L430" s="58">
        <f t="shared" si="61"/>
        <v>8.8445</v>
      </c>
    </row>
    <row r="431" spans="1:12" ht="46.5" thickBot="1">
      <c r="A431" s="184" t="s">
        <v>13</v>
      </c>
      <c r="B431" s="185"/>
      <c r="C431" s="186"/>
      <c r="D431" s="58">
        <v>39.9</v>
      </c>
      <c r="E431" s="58">
        <v>44.65</v>
      </c>
      <c r="F431" s="58">
        <v>192.85</v>
      </c>
      <c r="G431" s="58">
        <v>1330</v>
      </c>
      <c r="H431" s="58">
        <v>0.76</v>
      </c>
      <c r="I431" s="58">
        <v>0.86</v>
      </c>
      <c r="J431" s="58">
        <v>42.75</v>
      </c>
      <c r="K431" s="58">
        <v>760</v>
      </c>
      <c r="L431" s="58">
        <v>9.5</v>
      </c>
    </row>
    <row r="432" spans="1:12" ht="130.5" customHeight="1" thickBot="1">
      <c r="A432" s="184" t="s">
        <v>14</v>
      </c>
      <c r="B432" s="185"/>
      <c r="C432" s="186"/>
      <c r="D432" s="58">
        <f>D430*100/D431</f>
        <v>110.41604010025064</v>
      </c>
      <c r="E432" s="58">
        <f aca="true" t="shared" si="62" ref="E432:L432">E430*100/E431</f>
        <v>109.50727883538634</v>
      </c>
      <c r="F432" s="58">
        <f t="shared" si="62"/>
        <v>107.83510500388905</v>
      </c>
      <c r="G432" s="58">
        <f t="shared" si="62"/>
        <v>109.2484210526316</v>
      </c>
      <c r="H432" s="58">
        <f t="shared" si="62"/>
        <v>91.94736842105263</v>
      </c>
      <c r="I432" s="58">
        <f t="shared" si="62"/>
        <v>93.72093023255812</v>
      </c>
      <c r="J432" s="58">
        <f t="shared" si="62"/>
        <v>97.33099415204677</v>
      </c>
      <c r="K432" s="58">
        <f t="shared" si="62"/>
        <v>94.78736842105262</v>
      </c>
      <c r="L432" s="58">
        <f t="shared" si="62"/>
        <v>93.10000000000001</v>
      </c>
    </row>
    <row r="433" spans="1:12" ht="121.5" customHeight="1" thickBot="1">
      <c r="A433" s="184" t="s">
        <v>257</v>
      </c>
      <c r="B433" s="185"/>
      <c r="C433" s="186"/>
      <c r="D433" s="58">
        <f>D432-100</f>
        <v>10.41604010025064</v>
      </c>
      <c r="E433" s="58">
        <f aca="true" t="shared" si="63" ref="E433:L433">E432-100</f>
        <v>9.507278835386344</v>
      </c>
      <c r="F433" s="58">
        <f t="shared" si="63"/>
        <v>7.835105003889055</v>
      </c>
      <c r="G433" s="58">
        <f t="shared" si="63"/>
        <v>9.248421052631599</v>
      </c>
      <c r="H433" s="58">
        <f t="shared" si="63"/>
        <v>-8.05263157894737</v>
      </c>
      <c r="I433" s="58">
        <f t="shared" si="63"/>
        <v>-6.279069767441882</v>
      </c>
      <c r="J433" s="58">
        <f t="shared" si="63"/>
        <v>-2.6690058479532297</v>
      </c>
      <c r="K433" s="58">
        <f t="shared" si="63"/>
        <v>-5.212631578947381</v>
      </c>
      <c r="L433" s="58">
        <f t="shared" si="63"/>
        <v>-6.8999999999999915</v>
      </c>
    </row>
    <row r="434" spans="1:13" ht="45.75">
      <c r="A434" s="102"/>
      <c r="B434" s="102"/>
      <c r="C434" s="102"/>
      <c r="D434" s="132"/>
      <c r="E434" s="132"/>
      <c r="F434" s="132"/>
      <c r="G434" s="132"/>
      <c r="H434" s="132"/>
      <c r="I434" s="132"/>
      <c r="J434" s="132"/>
      <c r="K434" s="132"/>
      <c r="L434" s="132"/>
      <c r="M434" s="148"/>
    </row>
    <row r="435" spans="1:3" ht="45.75">
      <c r="A435" s="100"/>
      <c r="C435" s="100"/>
    </row>
    <row r="436" spans="1:3" ht="45.75">
      <c r="A436" s="100"/>
      <c r="B436" s="100" t="s">
        <v>258</v>
      </c>
      <c r="C436" s="100"/>
    </row>
    <row r="437" spans="1:3" ht="45.75">
      <c r="A437" s="100"/>
      <c r="B437" s="100" t="s">
        <v>183</v>
      </c>
      <c r="C437" s="100"/>
    </row>
    <row r="438" spans="2:3" ht="45.75">
      <c r="B438" s="100" t="s">
        <v>152</v>
      </c>
      <c r="C438" s="100"/>
    </row>
    <row r="453" spans="1:15" ht="45.75">
      <c r="A453" s="100"/>
      <c r="C453" s="100"/>
      <c r="O453" s="149"/>
    </row>
    <row r="457" spans="1:16" s="120" customFormat="1" ht="45.75">
      <c r="A457" s="148"/>
      <c r="B457" s="100"/>
      <c r="C457" s="101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</row>
    <row r="477" ht="46.5" thickBot="1">
      <c r="M477" s="58"/>
    </row>
    <row r="479" spans="1:3" ht="45.75">
      <c r="A479" s="100"/>
      <c r="C479" s="100"/>
    </row>
    <row r="491" ht="45.75">
      <c r="M491" s="120"/>
    </row>
    <row r="493" spans="1:3" ht="45.75">
      <c r="A493" s="100"/>
      <c r="C493" s="100"/>
    </row>
    <row r="494" spans="1:16" ht="45.75">
      <c r="A494" s="100"/>
      <c r="C494" s="100"/>
      <c r="N494" s="120"/>
      <c r="O494" s="120"/>
      <c r="P494" s="120"/>
    </row>
    <row r="521" spans="1:16" s="120" customFormat="1" ht="45.75">
      <c r="A521" s="148"/>
      <c r="B521" s="100"/>
      <c r="C521" s="101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</row>
  </sheetData>
  <sheetProtection/>
  <mergeCells count="162">
    <mergeCell ref="A433:C433"/>
    <mergeCell ref="A427:A428"/>
    <mergeCell ref="B427:B428"/>
    <mergeCell ref="C427:C428"/>
    <mergeCell ref="A429:C429"/>
    <mergeCell ref="A430:C430"/>
    <mergeCell ref="A431:C431"/>
    <mergeCell ref="A432:C432"/>
    <mergeCell ref="G427:G428"/>
    <mergeCell ref="H427:J427"/>
    <mergeCell ref="A391:L391"/>
    <mergeCell ref="A396:L396"/>
    <mergeCell ref="A400:L400"/>
    <mergeCell ref="A409:L409"/>
    <mergeCell ref="A426:L426"/>
    <mergeCell ref="K427:L427"/>
    <mergeCell ref="D427:F427"/>
    <mergeCell ref="A387:L387"/>
    <mergeCell ref="A388:A389"/>
    <mergeCell ref="B388:B389"/>
    <mergeCell ref="C388:C389"/>
    <mergeCell ref="D388:F388"/>
    <mergeCell ref="G388:G389"/>
    <mergeCell ref="H388:J388"/>
    <mergeCell ref="K388:L388"/>
    <mergeCell ref="A360:L360"/>
    <mergeCell ref="A368:L368"/>
    <mergeCell ref="A385:L385"/>
    <mergeCell ref="A386:L386"/>
    <mergeCell ref="A384:L384"/>
    <mergeCell ref="A356:L356"/>
    <mergeCell ref="B348:B349"/>
    <mergeCell ref="C348:C349"/>
    <mergeCell ref="D348:F348"/>
    <mergeCell ref="G348:G349"/>
    <mergeCell ref="A308:L308"/>
    <mergeCell ref="A314:L314"/>
    <mergeCell ref="A318:L318"/>
    <mergeCell ref="A351:L351"/>
    <mergeCell ref="A326:L326"/>
    <mergeCell ref="A344:L344"/>
    <mergeCell ref="A302:L302"/>
    <mergeCell ref="A303:L303"/>
    <mergeCell ref="A304:L304"/>
    <mergeCell ref="A305:A306"/>
    <mergeCell ref="B305:B306"/>
    <mergeCell ref="C305:C306"/>
    <mergeCell ref="D305:F305"/>
    <mergeCell ref="G305:G306"/>
    <mergeCell ref="H305:J305"/>
    <mergeCell ref="G263:G264"/>
    <mergeCell ref="H263:J263"/>
    <mergeCell ref="K263:L263"/>
    <mergeCell ref="K305:L305"/>
    <mergeCell ref="A266:L266"/>
    <mergeCell ref="A271:L271"/>
    <mergeCell ref="A275:L275"/>
    <mergeCell ref="A285:L285"/>
    <mergeCell ref="A301:L301"/>
    <mergeCell ref="A263:A264"/>
    <mergeCell ref="B263:B264"/>
    <mergeCell ref="C263:C264"/>
    <mergeCell ref="D263:F263"/>
    <mergeCell ref="A260:L260"/>
    <mergeCell ref="A261:L261"/>
    <mergeCell ref="A259:L259"/>
    <mergeCell ref="A262:L262"/>
    <mergeCell ref="A223:L223"/>
    <mergeCell ref="A228:L228"/>
    <mergeCell ref="A232:L232"/>
    <mergeCell ref="A242:L242"/>
    <mergeCell ref="A217:L217"/>
    <mergeCell ref="A218:L218"/>
    <mergeCell ref="A219:L219"/>
    <mergeCell ref="A220:A221"/>
    <mergeCell ref="B220:B221"/>
    <mergeCell ref="C220:C221"/>
    <mergeCell ref="D220:F220"/>
    <mergeCell ref="G220:G221"/>
    <mergeCell ref="H220:J220"/>
    <mergeCell ref="K220:L220"/>
    <mergeCell ref="A216:L216"/>
    <mergeCell ref="A176:A177"/>
    <mergeCell ref="B176:B177"/>
    <mergeCell ref="C176:C177"/>
    <mergeCell ref="D176:F176"/>
    <mergeCell ref="G176:G177"/>
    <mergeCell ref="A179:L179"/>
    <mergeCell ref="A185:L185"/>
    <mergeCell ref="A189:L189"/>
    <mergeCell ref="A199:L199"/>
    <mergeCell ref="H176:J176"/>
    <mergeCell ref="A146:L146"/>
    <mergeCell ref="A155:L155"/>
    <mergeCell ref="A173:L173"/>
    <mergeCell ref="A174:L174"/>
    <mergeCell ref="A172:L172"/>
    <mergeCell ref="A175:L175"/>
    <mergeCell ref="K176:L176"/>
    <mergeCell ref="A142:L142"/>
    <mergeCell ref="B134:B135"/>
    <mergeCell ref="C134:C135"/>
    <mergeCell ref="D134:F134"/>
    <mergeCell ref="G134:G135"/>
    <mergeCell ref="A95:L95"/>
    <mergeCell ref="A100:L100"/>
    <mergeCell ref="A104:L104"/>
    <mergeCell ref="A137:L137"/>
    <mergeCell ref="A113:L113"/>
    <mergeCell ref="A130:L130"/>
    <mergeCell ref="A89:L89"/>
    <mergeCell ref="A90:L90"/>
    <mergeCell ref="A91:L91"/>
    <mergeCell ref="A92:A93"/>
    <mergeCell ref="B92:B93"/>
    <mergeCell ref="C92:C93"/>
    <mergeCell ref="D92:F92"/>
    <mergeCell ref="G92:G93"/>
    <mergeCell ref="H92:J92"/>
    <mergeCell ref="G51:G52"/>
    <mergeCell ref="H51:J51"/>
    <mergeCell ref="K51:L51"/>
    <mergeCell ref="K92:L92"/>
    <mergeCell ref="A54:L54"/>
    <mergeCell ref="A59:L59"/>
    <mergeCell ref="A63:L63"/>
    <mergeCell ref="A72:L72"/>
    <mergeCell ref="A88:L88"/>
    <mergeCell ref="A51:A52"/>
    <mergeCell ref="B51:B52"/>
    <mergeCell ref="C51:C52"/>
    <mergeCell ref="D51:F51"/>
    <mergeCell ref="G6:G7"/>
    <mergeCell ref="H6:J6"/>
    <mergeCell ref="K6:L6"/>
    <mergeCell ref="A50:L50"/>
    <mergeCell ref="A49:L49"/>
    <mergeCell ref="A29:L29"/>
    <mergeCell ref="A47:L47"/>
    <mergeCell ref="A2:L2"/>
    <mergeCell ref="A3:L3"/>
    <mergeCell ref="A4:L4"/>
    <mergeCell ref="A6:A7"/>
    <mergeCell ref="B6:B7"/>
    <mergeCell ref="C6:C7"/>
    <mergeCell ref="D6:F6"/>
    <mergeCell ref="A9:L9"/>
    <mergeCell ref="A16:L16"/>
    <mergeCell ref="A20:L20"/>
    <mergeCell ref="A48:L48"/>
    <mergeCell ref="A345:L345"/>
    <mergeCell ref="A346:L346"/>
    <mergeCell ref="A347:L347"/>
    <mergeCell ref="A348:A349"/>
    <mergeCell ref="H348:J348"/>
    <mergeCell ref="K348:L348"/>
    <mergeCell ref="A131:L131"/>
    <mergeCell ref="A132:L132"/>
    <mergeCell ref="A133:L133"/>
    <mergeCell ref="A134:A135"/>
    <mergeCell ref="H134:J134"/>
    <mergeCell ref="K134:L134"/>
  </mergeCells>
  <printOptions/>
  <pageMargins left="0.7480314960629921" right="0.7480314960629921" top="0.984251968503937" bottom="0.984251968503937" header="0.5118110236220472" footer="0.5118110236220472"/>
  <pageSetup fitToHeight="29" horizontalDpi="600" verticalDpi="600" orientation="landscape" paperSize="9" scale="25" r:id="rId1"/>
  <rowBreaks count="20" manualBreakCount="20">
    <brk id="28" max="12" man="1"/>
    <brk id="46" max="12" man="1"/>
    <brk id="71" max="12" man="1"/>
    <brk id="87" max="12" man="1"/>
    <brk id="112" max="12" man="1"/>
    <brk id="129" max="12" man="1"/>
    <brk id="154" max="12" man="1"/>
    <brk id="171" max="12" man="1"/>
    <brk id="198" max="12" man="1"/>
    <brk id="215" max="12" man="1"/>
    <brk id="241" max="12" man="1"/>
    <brk id="258" max="12" man="1"/>
    <brk id="284" max="12" man="1"/>
    <brk id="300" max="12" man="1"/>
    <brk id="325" max="12" man="1"/>
    <brk id="343" max="12" man="1"/>
    <brk id="367" max="12" man="1"/>
    <brk id="383" max="12" man="1"/>
    <brk id="408" max="12" man="1"/>
    <brk id="42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1"/>
  <sheetViews>
    <sheetView view="pageBreakPreview" zoomScale="25" zoomScaleNormal="40" zoomScaleSheetLayoutView="25" zoomScalePageLayoutView="0" workbookViewId="0" topLeftCell="A328">
      <selection activeCell="M328" sqref="M328:M329"/>
    </sheetView>
  </sheetViews>
  <sheetFormatPr defaultColWidth="9.140625" defaultRowHeight="12.75"/>
  <cols>
    <col min="1" max="1" width="18.7109375" style="82" customWidth="1"/>
    <col min="2" max="2" width="144.00390625" style="81" customWidth="1"/>
    <col min="3" max="3" width="27.421875" style="82" customWidth="1"/>
    <col min="4" max="4" width="23.00390625" style="82" customWidth="1"/>
    <col min="5" max="5" width="22.7109375" style="82" customWidth="1"/>
    <col min="6" max="6" width="23.421875" style="82" customWidth="1"/>
    <col min="7" max="7" width="24.57421875" style="82" customWidth="1"/>
    <col min="8" max="8" width="28.00390625" style="82" customWidth="1"/>
    <col min="9" max="9" width="29.00390625" style="82" customWidth="1"/>
    <col min="10" max="10" width="33.7109375" style="82" customWidth="1"/>
    <col min="11" max="11" width="28.57421875" style="82" customWidth="1"/>
    <col min="12" max="12" width="32.00390625" style="82" customWidth="1"/>
    <col min="13" max="13" width="31.140625" style="82" customWidth="1"/>
    <col min="14" max="14" width="24.28125" style="82" customWidth="1"/>
    <col min="15" max="15" width="27.57421875" style="82" customWidth="1"/>
    <col min="16" max="16" width="28.28125" style="82" customWidth="1"/>
    <col min="17" max="17" width="25.7109375" style="82" customWidth="1"/>
    <col min="18" max="18" width="24.421875" style="82" customWidth="1"/>
    <col min="19" max="19" width="25.28125" style="82" customWidth="1"/>
    <col min="20" max="20" width="26.28125" style="82" customWidth="1"/>
    <col min="21" max="21" width="27.00390625" style="82" customWidth="1"/>
    <col min="22" max="22" width="25.8515625" style="82" customWidth="1"/>
    <col min="23" max="23" width="23.7109375" style="82" customWidth="1"/>
    <col min="24" max="24" width="31.7109375" style="82" customWidth="1"/>
    <col min="25" max="25" width="23.28125" style="82" customWidth="1"/>
    <col min="26" max="26" width="28.28125" style="82" customWidth="1"/>
    <col min="27" max="27" width="25.57421875" style="82" customWidth="1"/>
    <col min="28" max="29" width="25.00390625" style="82" customWidth="1"/>
    <col min="30" max="30" width="37.140625" style="82" customWidth="1"/>
    <col min="31" max="31" width="25.28125" style="82" customWidth="1"/>
    <col min="32" max="32" width="40.140625" style="82" customWidth="1"/>
    <col min="33" max="33" width="45.28125" style="81" customWidth="1"/>
    <col min="34" max="34" width="9.140625" style="81" customWidth="1"/>
    <col min="35" max="35" width="10.8515625" style="81" bestFit="1" customWidth="1"/>
    <col min="36" max="16384" width="9.140625" style="81" customWidth="1"/>
  </cols>
  <sheetData>
    <row r="1" spans="1:32" ht="46.5">
      <c r="A1" s="172" t="s">
        <v>191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2" ht="47.25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</row>
    <row r="3" spans="1:32" ht="47.25" thickBot="1">
      <c r="A3" s="165" t="s">
        <v>65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7"/>
    </row>
    <row r="4" spans="1:32" ht="47.25" thickBot="1">
      <c r="A4" s="165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7"/>
    </row>
    <row r="5" spans="1:32" ht="45.75" customHeight="1">
      <c r="A5" s="168" t="s">
        <v>39</v>
      </c>
      <c r="B5" s="170" t="s">
        <v>26</v>
      </c>
      <c r="C5" s="154" t="s">
        <v>114</v>
      </c>
      <c r="D5" s="154" t="s">
        <v>115</v>
      </c>
      <c r="E5" s="154" t="s">
        <v>116</v>
      </c>
      <c r="F5" s="154" t="s">
        <v>117</v>
      </c>
      <c r="G5" s="154" t="s">
        <v>109</v>
      </c>
      <c r="H5" s="154" t="s">
        <v>118</v>
      </c>
      <c r="I5" s="154" t="s">
        <v>246</v>
      </c>
      <c r="J5" s="154" t="s">
        <v>247</v>
      </c>
      <c r="K5" s="90"/>
      <c r="L5" s="90"/>
      <c r="M5" s="154" t="s">
        <v>217</v>
      </c>
      <c r="N5" s="154" t="s">
        <v>121</v>
      </c>
      <c r="O5" s="154" t="s">
        <v>81</v>
      </c>
      <c r="P5" s="154" t="s">
        <v>82</v>
      </c>
      <c r="Q5" s="154" t="s">
        <v>122</v>
      </c>
      <c r="R5" s="154" t="s">
        <v>83</v>
      </c>
      <c r="S5" s="154" t="s">
        <v>123</v>
      </c>
      <c r="T5" s="154" t="s">
        <v>126</v>
      </c>
      <c r="U5" s="154" t="s">
        <v>143</v>
      </c>
      <c r="V5" s="90"/>
      <c r="W5" s="154" t="s">
        <v>248</v>
      </c>
      <c r="X5" s="154" t="s">
        <v>249</v>
      </c>
      <c r="Y5" s="154" t="s">
        <v>250</v>
      </c>
      <c r="Z5" s="154" t="s">
        <v>84</v>
      </c>
      <c r="AA5" s="154" t="s">
        <v>85</v>
      </c>
      <c r="AB5" s="154" t="s">
        <v>89</v>
      </c>
      <c r="AC5" s="90"/>
      <c r="AD5" s="154" t="s">
        <v>124</v>
      </c>
      <c r="AE5" s="154" t="s">
        <v>86</v>
      </c>
      <c r="AF5" s="154" t="s">
        <v>125</v>
      </c>
    </row>
    <row r="6" spans="1:32" ht="397.5" customHeight="1" thickBot="1">
      <c r="A6" s="169"/>
      <c r="B6" s="171"/>
      <c r="C6" s="155"/>
      <c r="D6" s="155"/>
      <c r="E6" s="155"/>
      <c r="F6" s="155"/>
      <c r="G6" s="155"/>
      <c r="H6" s="155"/>
      <c r="I6" s="155"/>
      <c r="J6" s="155"/>
      <c r="K6" s="91" t="s">
        <v>119</v>
      </c>
      <c r="L6" s="91" t="s">
        <v>120</v>
      </c>
      <c r="M6" s="155"/>
      <c r="N6" s="155"/>
      <c r="O6" s="155"/>
      <c r="P6" s="155"/>
      <c r="Q6" s="155"/>
      <c r="R6" s="155"/>
      <c r="S6" s="155"/>
      <c r="T6" s="155"/>
      <c r="U6" s="155"/>
      <c r="V6" s="91" t="s">
        <v>111</v>
      </c>
      <c r="W6" s="155"/>
      <c r="X6" s="155"/>
      <c r="Y6" s="155"/>
      <c r="Z6" s="155"/>
      <c r="AA6" s="155"/>
      <c r="AB6" s="155"/>
      <c r="AC6" s="91" t="s">
        <v>110</v>
      </c>
      <c r="AD6" s="155"/>
      <c r="AE6" s="155"/>
      <c r="AF6" s="155"/>
    </row>
    <row r="7" spans="1:32" s="96" customFormat="1" ht="47.25" thickBot="1">
      <c r="A7" s="95">
        <v>1</v>
      </c>
      <c r="B7" s="68">
        <v>2</v>
      </c>
      <c r="C7" s="69" t="s">
        <v>112</v>
      </c>
      <c r="D7" s="70">
        <v>4</v>
      </c>
      <c r="E7" s="69">
        <v>5</v>
      </c>
      <c r="F7" s="69">
        <v>6</v>
      </c>
      <c r="G7" s="69">
        <v>7</v>
      </c>
      <c r="H7" s="69">
        <v>8</v>
      </c>
      <c r="I7" s="69" t="s">
        <v>113</v>
      </c>
      <c r="J7" s="70">
        <v>10</v>
      </c>
      <c r="K7" s="69">
        <v>11</v>
      </c>
      <c r="L7" s="85">
        <v>12</v>
      </c>
      <c r="M7" s="69">
        <v>13</v>
      </c>
      <c r="N7" s="69">
        <v>14</v>
      </c>
      <c r="O7" s="69">
        <v>15</v>
      </c>
      <c r="P7" s="69">
        <v>16</v>
      </c>
      <c r="Q7" s="94">
        <v>17</v>
      </c>
      <c r="R7" s="69">
        <v>18</v>
      </c>
      <c r="S7" s="94">
        <v>19</v>
      </c>
      <c r="T7" s="69">
        <v>20</v>
      </c>
      <c r="U7" s="94">
        <v>21</v>
      </c>
      <c r="V7" s="94">
        <v>22</v>
      </c>
      <c r="W7" s="69">
        <v>23</v>
      </c>
      <c r="X7" s="69">
        <v>24</v>
      </c>
      <c r="Y7" s="94">
        <v>25</v>
      </c>
      <c r="Z7" s="69">
        <v>26</v>
      </c>
      <c r="AA7" s="69">
        <v>27</v>
      </c>
      <c r="AB7" s="69">
        <v>28</v>
      </c>
      <c r="AC7" s="94">
        <v>29</v>
      </c>
      <c r="AD7" s="69">
        <v>30</v>
      </c>
      <c r="AE7" s="69">
        <v>31</v>
      </c>
      <c r="AF7" s="92">
        <v>32</v>
      </c>
    </row>
    <row r="8" spans="1:32" ht="47.25" thickBot="1">
      <c r="A8" s="165" t="s">
        <v>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7"/>
    </row>
    <row r="9" spans="1:32" ht="47.25" thickBot="1">
      <c r="A9" s="44">
        <v>63</v>
      </c>
      <c r="B9" s="71" t="s">
        <v>198</v>
      </c>
      <c r="C9" s="46"/>
      <c r="D9" s="57"/>
      <c r="E9" s="57"/>
      <c r="F9" s="57"/>
      <c r="G9" s="57"/>
      <c r="H9" s="51"/>
      <c r="I9" s="51"/>
      <c r="J9" s="51"/>
      <c r="K9" s="51"/>
      <c r="L9" s="51"/>
      <c r="M9" s="51"/>
      <c r="N9" s="51"/>
      <c r="O9" s="52"/>
      <c r="P9" s="46"/>
      <c r="Q9" s="52"/>
      <c r="R9" s="46"/>
      <c r="S9" s="52">
        <v>20</v>
      </c>
      <c r="T9" s="46"/>
      <c r="U9" s="52"/>
      <c r="V9" s="46"/>
      <c r="W9" s="46"/>
      <c r="X9" s="52"/>
      <c r="Y9" s="46"/>
      <c r="Z9" s="46"/>
      <c r="AA9" s="46"/>
      <c r="AB9" s="46"/>
      <c r="AC9" s="52"/>
      <c r="AD9" s="46"/>
      <c r="AE9" s="52"/>
      <c r="AF9" s="46"/>
    </row>
    <row r="10" spans="1:32" ht="47.25" thickBot="1">
      <c r="A10" s="44">
        <v>26</v>
      </c>
      <c r="B10" s="45" t="s">
        <v>66</v>
      </c>
      <c r="C10" s="4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44"/>
      <c r="P10" s="52"/>
      <c r="Q10" s="44"/>
      <c r="R10" s="52"/>
      <c r="S10" s="44"/>
      <c r="T10" s="52"/>
      <c r="U10" s="66"/>
      <c r="V10" s="67">
        <v>65</v>
      </c>
      <c r="W10" s="46"/>
      <c r="X10" s="52"/>
      <c r="Y10" s="46"/>
      <c r="Z10" s="52"/>
      <c r="AA10" s="44"/>
      <c r="AB10" s="44"/>
      <c r="AC10" s="52"/>
      <c r="AD10" s="44"/>
      <c r="AE10" s="44"/>
      <c r="AF10" s="51"/>
    </row>
    <row r="11" spans="1:32" ht="47.25" thickBot="1">
      <c r="A11" s="46">
        <v>13</v>
      </c>
      <c r="B11" s="50" t="s">
        <v>9</v>
      </c>
      <c r="C11" s="46"/>
      <c r="D11" s="57"/>
      <c r="E11" s="57"/>
      <c r="F11" s="57"/>
      <c r="G11" s="57"/>
      <c r="H11" s="51"/>
      <c r="I11" s="51"/>
      <c r="J11" s="51"/>
      <c r="K11" s="51"/>
      <c r="L11" s="51"/>
      <c r="M11" s="51"/>
      <c r="N11" s="51"/>
      <c r="O11" s="52"/>
      <c r="P11" s="46">
        <v>12</v>
      </c>
      <c r="Q11" s="52"/>
      <c r="R11" s="46"/>
      <c r="S11" s="52"/>
      <c r="T11" s="46"/>
      <c r="U11" s="46"/>
      <c r="V11" s="52"/>
      <c r="W11" s="46"/>
      <c r="X11" s="52"/>
      <c r="Y11" s="46"/>
      <c r="Z11" s="46"/>
      <c r="AA11" s="52"/>
      <c r="AB11" s="46">
        <v>0.6</v>
      </c>
      <c r="AC11" s="46"/>
      <c r="AD11" s="52"/>
      <c r="AE11" s="46"/>
      <c r="AF11" s="51"/>
    </row>
    <row r="12" spans="1:32" ht="47.25" thickBot="1">
      <c r="A12" s="44">
        <v>16</v>
      </c>
      <c r="B12" s="45" t="s">
        <v>54</v>
      </c>
      <c r="C12" s="51">
        <v>30</v>
      </c>
      <c r="D12" s="57"/>
      <c r="E12" s="57"/>
      <c r="F12" s="57"/>
      <c r="G12" s="57"/>
      <c r="H12" s="51"/>
      <c r="I12" s="51"/>
      <c r="J12" s="51"/>
      <c r="K12" s="51"/>
      <c r="L12" s="51"/>
      <c r="M12" s="51"/>
      <c r="N12" s="51"/>
      <c r="O12" s="52"/>
      <c r="P12" s="46"/>
      <c r="Q12" s="52">
        <v>5</v>
      </c>
      <c r="R12" s="46"/>
      <c r="S12" s="52"/>
      <c r="T12" s="46"/>
      <c r="U12" s="52"/>
      <c r="V12" s="44"/>
      <c r="W12" s="46"/>
      <c r="X12" s="44"/>
      <c r="Y12" s="52"/>
      <c r="Z12" s="46"/>
      <c r="AA12" s="46"/>
      <c r="AB12" s="52"/>
      <c r="AC12" s="44"/>
      <c r="AD12" s="46"/>
      <c r="AE12" s="52"/>
      <c r="AF12" s="46"/>
    </row>
    <row r="13" spans="1:32" ht="93.75" thickBot="1">
      <c r="A13" s="44" t="s">
        <v>45</v>
      </c>
      <c r="B13" s="45" t="s">
        <v>133</v>
      </c>
      <c r="C13" s="46"/>
      <c r="D13" s="51"/>
      <c r="E13" s="51"/>
      <c r="F13" s="51"/>
      <c r="G13" s="51"/>
      <c r="H13" s="51"/>
      <c r="I13" s="57"/>
      <c r="J13" s="57"/>
      <c r="K13" s="57"/>
      <c r="L13" s="57"/>
      <c r="M13" s="57"/>
      <c r="N13" s="57"/>
      <c r="O13" s="67">
        <v>15</v>
      </c>
      <c r="P13" s="46"/>
      <c r="Q13" s="57"/>
      <c r="R13" s="57"/>
      <c r="S13" s="57"/>
      <c r="T13" s="57"/>
      <c r="U13" s="46"/>
      <c r="V13" s="57"/>
      <c r="W13" s="57"/>
      <c r="X13" s="65"/>
      <c r="Y13" s="46"/>
      <c r="Z13" s="57"/>
      <c r="AA13" s="57"/>
      <c r="AB13" s="57"/>
      <c r="AC13" s="57"/>
      <c r="AD13" s="57"/>
      <c r="AE13" s="57"/>
      <c r="AF13" s="57"/>
    </row>
    <row r="14" spans="1:32" ht="47.25" thickBot="1">
      <c r="A14" s="44"/>
      <c r="B14" s="45" t="s">
        <v>8</v>
      </c>
      <c r="C14" s="46">
        <f>SUM(C9+C11+C12+C13)</f>
        <v>30</v>
      </c>
      <c r="D14" s="46">
        <f aca="true" t="shared" si="0" ref="D14:L14">SUM(D9+D11+D12+D13)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aca="true" t="shared" si="1" ref="M14:X14">SUM(M9:M13)</f>
        <v>0</v>
      </c>
      <c r="N14" s="46">
        <f t="shared" si="1"/>
        <v>0</v>
      </c>
      <c r="O14" s="46">
        <f t="shared" si="1"/>
        <v>15</v>
      </c>
      <c r="P14" s="46">
        <f t="shared" si="1"/>
        <v>12</v>
      </c>
      <c r="Q14" s="46">
        <f t="shared" si="1"/>
        <v>5</v>
      </c>
      <c r="R14" s="46">
        <f t="shared" si="1"/>
        <v>0</v>
      </c>
      <c r="S14" s="46">
        <f t="shared" si="1"/>
        <v>20</v>
      </c>
      <c r="T14" s="46">
        <f t="shared" si="1"/>
        <v>0</v>
      </c>
      <c r="U14" s="46">
        <f t="shared" si="1"/>
        <v>0</v>
      </c>
      <c r="V14" s="46">
        <f t="shared" si="1"/>
        <v>65</v>
      </c>
      <c r="W14" s="46">
        <f t="shared" si="1"/>
        <v>0</v>
      </c>
      <c r="X14" s="46">
        <f t="shared" si="1"/>
        <v>0</v>
      </c>
      <c r="Y14" s="46">
        <f aca="true" t="shared" si="2" ref="Y14:AF14">SUM(Y9,Y11,Y12)</f>
        <v>0</v>
      </c>
      <c r="Z14" s="46">
        <f t="shared" si="2"/>
        <v>0</v>
      </c>
      <c r="AA14" s="46">
        <f t="shared" si="2"/>
        <v>0</v>
      </c>
      <c r="AB14" s="46">
        <f t="shared" si="2"/>
        <v>0.6</v>
      </c>
      <c r="AC14" s="46">
        <f t="shared" si="2"/>
        <v>0</v>
      </c>
      <c r="AD14" s="46">
        <f t="shared" si="2"/>
        <v>0</v>
      </c>
      <c r="AE14" s="46">
        <f t="shared" si="2"/>
        <v>0</v>
      </c>
      <c r="AF14" s="46">
        <f t="shared" si="2"/>
        <v>0</v>
      </c>
    </row>
    <row r="15" spans="1:32" ht="47.25" thickBot="1">
      <c r="A15" s="156" t="s">
        <v>107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57"/>
    </row>
    <row r="16" spans="1:32" ht="47.25" thickBot="1">
      <c r="A16" s="44" t="s">
        <v>45</v>
      </c>
      <c r="B16" s="48" t="s">
        <v>108</v>
      </c>
      <c r="C16" s="46"/>
      <c r="D16" s="51"/>
      <c r="E16" s="51"/>
      <c r="F16" s="51"/>
      <c r="G16" s="51"/>
      <c r="H16" s="51"/>
      <c r="I16" s="51"/>
      <c r="J16" s="51"/>
      <c r="K16" s="51">
        <v>90</v>
      </c>
      <c r="L16" s="51"/>
      <c r="M16" s="51"/>
      <c r="N16" s="51"/>
      <c r="O16" s="52"/>
      <c r="P16" s="46"/>
      <c r="Q16" s="52"/>
      <c r="R16" s="46"/>
      <c r="S16" s="52"/>
      <c r="T16" s="46"/>
      <c r="U16" s="52"/>
      <c r="V16" s="46"/>
      <c r="W16" s="46"/>
      <c r="X16" s="52"/>
      <c r="Y16" s="46"/>
      <c r="Z16" s="46"/>
      <c r="AA16" s="52"/>
      <c r="AB16" s="46"/>
      <c r="AC16" s="52"/>
      <c r="AD16" s="46"/>
      <c r="AE16" s="46"/>
      <c r="AF16" s="51"/>
    </row>
    <row r="17" spans="1:32" ht="47.25" thickBot="1">
      <c r="A17" s="44" t="s">
        <v>45</v>
      </c>
      <c r="B17" s="45" t="s">
        <v>127</v>
      </c>
      <c r="C17" s="46"/>
      <c r="D17" s="51"/>
      <c r="E17" s="51"/>
      <c r="F17" s="51"/>
      <c r="G17" s="51"/>
      <c r="H17" s="51"/>
      <c r="I17" s="51"/>
      <c r="J17" s="51"/>
      <c r="K17" s="51"/>
      <c r="L17" s="51"/>
      <c r="M17" s="51">
        <v>110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7"/>
    </row>
    <row r="18" spans="1:32" ht="47.25" thickBot="1">
      <c r="A18" s="44"/>
      <c r="B18" s="45" t="s">
        <v>37</v>
      </c>
      <c r="C18" s="51">
        <f>SUM(C16:C17)</f>
        <v>0</v>
      </c>
      <c r="D18" s="51">
        <f aca="true" t="shared" si="3" ref="D18:O18">SUM(D16:D17)</f>
        <v>0</v>
      </c>
      <c r="E18" s="51">
        <f t="shared" si="3"/>
        <v>0</v>
      </c>
      <c r="F18" s="51">
        <f t="shared" si="3"/>
        <v>0</v>
      </c>
      <c r="G18" s="51">
        <f t="shared" si="3"/>
        <v>0</v>
      </c>
      <c r="H18" s="51">
        <f t="shared" si="3"/>
        <v>0</v>
      </c>
      <c r="I18" s="51">
        <f t="shared" si="3"/>
        <v>0</v>
      </c>
      <c r="J18" s="51">
        <f t="shared" si="3"/>
        <v>0</v>
      </c>
      <c r="K18" s="51">
        <f t="shared" si="3"/>
        <v>90</v>
      </c>
      <c r="L18" s="51">
        <f t="shared" si="3"/>
        <v>0</v>
      </c>
      <c r="M18" s="51">
        <f t="shared" si="3"/>
        <v>110</v>
      </c>
      <c r="N18" s="51">
        <f t="shared" si="3"/>
        <v>0</v>
      </c>
      <c r="O18" s="51">
        <f t="shared" si="3"/>
        <v>0</v>
      </c>
      <c r="P18" s="51">
        <f aca="true" t="shared" si="4" ref="P18:AE18">SUM(P16)</f>
        <v>0</v>
      </c>
      <c r="Q18" s="51">
        <f t="shared" si="4"/>
        <v>0</v>
      </c>
      <c r="R18" s="51">
        <f t="shared" si="4"/>
        <v>0</v>
      </c>
      <c r="S18" s="51">
        <f t="shared" si="4"/>
        <v>0</v>
      </c>
      <c r="T18" s="51">
        <f t="shared" si="4"/>
        <v>0</v>
      </c>
      <c r="U18" s="51">
        <f t="shared" si="4"/>
        <v>0</v>
      </c>
      <c r="V18" s="51">
        <f t="shared" si="4"/>
        <v>0</v>
      </c>
      <c r="W18" s="51">
        <f t="shared" si="4"/>
        <v>0</v>
      </c>
      <c r="X18" s="51">
        <f t="shared" si="4"/>
        <v>0</v>
      </c>
      <c r="Y18" s="51">
        <f t="shared" si="4"/>
        <v>0</v>
      </c>
      <c r="Z18" s="51">
        <f t="shared" si="4"/>
        <v>0</v>
      </c>
      <c r="AA18" s="51">
        <f t="shared" si="4"/>
        <v>0</v>
      </c>
      <c r="AB18" s="51">
        <f t="shared" si="4"/>
        <v>0</v>
      </c>
      <c r="AC18" s="51">
        <f t="shared" si="4"/>
        <v>0</v>
      </c>
      <c r="AD18" s="51">
        <f t="shared" si="4"/>
        <v>0</v>
      </c>
      <c r="AE18" s="51">
        <f t="shared" si="4"/>
        <v>0</v>
      </c>
      <c r="AF18" s="51">
        <f>SUM(AF16)</f>
        <v>0</v>
      </c>
    </row>
    <row r="19" spans="1:32" ht="47.25" thickBot="1">
      <c r="A19" s="165" t="s">
        <v>40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7"/>
    </row>
    <row r="20" spans="1:32" ht="47.25" thickBot="1">
      <c r="A20" s="46">
        <v>82</v>
      </c>
      <c r="B20" s="45" t="s">
        <v>192</v>
      </c>
      <c r="C20" s="46"/>
      <c r="D20" s="51"/>
      <c r="E20" s="51"/>
      <c r="F20" s="51"/>
      <c r="G20" s="51"/>
      <c r="H20" s="51"/>
      <c r="I20" s="51"/>
      <c r="J20" s="51">
        <v>56.3</v>
      </c>
      <c r="K20" s="51"/>
      <c r="L20" s="51"/>
      <c r="M20" s="51"/>
      <c r="N20" s="51"/>
      <c r="O20" s="52"/>
      <c r="P20" s="44"/>
      <c r="Q20" s="52"/>
      <c r="R20" s="44">
        <v>5</v>
      </c>
      <c r="S20" s="52"/>
      <c r="T20" s="44"/>
      <c r="U20" s="52"/>
      <c r="V20" s="46"/>
      <c r="W20" s="44"/>
      <c r="X20" s="52"/>
      <c r="Y20" s="46"/>
      <c r="Z20" s="44"/>
      <c r="AA20" s="52"/>
      <c r="AB20" s="44"/>
      <c r="AC20" s="46"/>
      <c r="AD20" s="52"/>
      <c r="AE20" s="44"/>
      <c r="AF20" s="92"/>
    </row>
    <row r="21" spans="1:32" ht="93.75" thickBot="1">
      <c r="A21" s="44">
        <v>57</v>
      </c>
      <c r="B21" s="45" t="s">
        <v>159</v>
      </c>
      <c r="C21" s="44"/>
      <c r="D21" s="51"/>
      <c r="E21" s="51">
        <v>10</v>
      </c>
      <c r="F21" s="51"/>
      <c r="G21" s="51"/>
      <c r="H21" s="51"/>
      <c r="I21" s="51">
        <v>44</v>
      </c>
      <c r="J21" s="51">
        <v>23</v>
      </c>
      <c r="K21" s="51"/>
      <c r="L21" s="51"/>
      <c r="M21" s="51"/>
      <c r="N21" s="51"/>
      <c r="O21" s="51"/>
      <c r="P21" s="51"/>
      <c r="Q21" s="51">
        <v>3.25</v>
      </c>
      <c r="R21" s="51"/>
      <c r="S21" s="51">
        <v>2.5</v>
      </c>
      <c r="T21" s="51">
        <v>15</v>
      </c>
      <c r="U21" s="51"/>
      <c r="V21" s="51"/>
      <c r="W21" s="51"/>
      <c r="X21" s="51">
        <v>32</v>
      </c>
      <c r="Y21" s="51"/>
      <c r="Z21" s="51"/>
      <c r="AA21" s="51"/>
      <c r="AB21" s="51"/>
      <c r="AC21" s="51"/>
      <c r="AD21" s="51"/>
      <c r="AE21" s="51"/>
      <c r="AF21" s="51"/>
    </row>
    <row r="22" spans="1:32" ht="47.25" thickBot="1">
      <c r="A22" s="44">
        <v>48</v>
      </c>
      <c r="B22" s="45" t="s">
        <v>196</v>
      </c>
      <c r="C22" s="46"/>
      <c r="D22" s="51"/>
      <c r="E22" s="51">
        <v>0.9</v>
      </c>
      <c r="F22" s="51"/>
      <c r="G22" s="51"/>
      <c r="H22" s="51"/>
      <c r="I22" s="51"/>
      <c r="J22" s="51">
        <v>15.5</v>
      </c>
      <c r="K22" s="51"/>
      <c r="L22" s="51"/>
      <c r="M22" s="51"/>
      <c r="N22" s="51"/>
      <c r="O22" s="44"/>
      <c r="P22" s="52"/>
      <c r="Q22" s="44">
        <v>3</v>
      </c>
      <c r="R22" s="52"/>
      <c r="S22" s="44"/>
      <c r="T22" s="52"/>
      <c r="U22" s="44"/>
      <c r="V22" s="44"/>
      <c r="W22" s="44"/>
      <c r="X22" s="52">
        <v>101</v>
      </c>
      <c r="Y22" s="44"/>
      <c r="Z22" s="52">
        <v>3</v>
      </c>
      <c r="AA22" s="66"/>
      <c r="AB22" s="44"/>
      <c r="AC22" s="52"/>
      <c r="AD22" s="44"/>
      <c r="AE22" s="44"/>
      <c r="AF22" s="51"/>
    </row>
    <row r="23" spans="1:32" ht="93.75" thickBot="1">
      <c r="A23" s="44" t="s">
        <v>225</v>
      </c>
      <c r="B23" s="45" t="s">
        <v>226</v>
      </c>
      <c r="C23" s="46"/>
      <c r="D23" s="51"/>
      <c r="E23" s="51"/>
      <c r="F23" s="51"/>
      <c r="G23" s="51">
        <v>72</v>
      </c>
      <c r="H23" s="51"/>
      <c r="I23" s="51"/>
      <c r="J23" s="51"/>
      <c r="K23" s="51"/>
      <c r="L23" s="51"/>
      <c r="M23" s="51"/>
      <c r="N23" s="51"/>
      <c r="O23" s="51"/>
      <c r="P23" s="51"/>
      <c r="Q23" s="51">
        <v>5</v>
      </c>
      <c r="R23" s="51"/>
      <c r="S23" s="51"/>
      <c r="T23" s="52"/>
      <c r="U23" s="44"/>
      <c r="V23" s="52"/>
      <c r="W23" s="44"/>
      <c r="X23" s="52"/>
      <c r="Y23" s="44"/>
      <c r="Z23" s="46"/>
      <c r="AA23" s="52"/>
      <c r="AB23" s="44"/>
      <c r="AC23" s="52"/>
      <c r="AD23" s="44"/>
      <c r="AE23" s="44"/>
      <c r="AF23" s="51"/>
    </row>
    <row r="24" spans="1:32" ht="47.25" thickBot="1">
      <c r="A24" s="44">
        <v>9</v>
      </c>
      <c r="B24" s="45" t="s">
        <v>74</v>
      </c>
      <c r="C24" s="4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>
        <v>22</v>
      </c>
      <c r="O24" s="52"/>
      <c r="P24" s="44">
        <v>15</v>
      </c>
      <c r="Q24" s="52"/>
      <c r="R24" s="44"/>
      <c r="S24" s="52"/>
      <c r="T24" s="44"/>
      <c r="U24" s="44"/>
      <c r="V24" s="52"/>
      <c r="W24" s="44"/>
      <c r="X24" s="52"/>
      <c r="Y24" s="44"/>
      <c r="Z24" s="44"/>
      <c r="AA24" s="52"/>
      <c r="AB24" s="44"/>
      <c r="AC24" s="52"/>
      <c r="AD24" s="44"/>
      <c r="AE24" s="44"/>
      <c r="AF24" s="51"/>
    </row>
    <row r="25" spans="1:32" ht="47.25" thickBot="1">
      <c r="A25" s="44" t="s">
        <v>45</v>
      </c>
      <c r="B25" s="45" t="s">
        <v>114</v>
      </c>
      <c r="C25" s="51">
        <v>35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44"/>
      <c r="Q25" s="52"/>
      <c r="R25" s="44"/>
      <c r="S25" s="52"/>
      <c r="T25" s="44"/>
      <c r="U25" s="44"/>
      <c r="V25" s="52"/>
      <c r="W25" s="44"/>
      <c r="X25" s="52"/>
      <c r="Y25" s="44"/>
      <c r="Z25" s="44"/>
      <c r="AA25" s="52"/>
      <c r="AB25" s="44"/>
      <c r="AC25" s="52"/>
      <c r="AD25" s="44"/>
      <c r="AE25" s="44"/>
      <c r="AF25" s="51"/>
    </row>
    <row r="26" spans="1:32" ht="47.25" thickBot="1">
      <c r="A26" s="44" t="s">
        <v>45</v>
      </c>
      <c r="B26" s="45" t="s">
        <v>144</v>
      </c>
      <c r="C26" s="46"/>
      <c r="D26" s="51">
        <v>45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67"/>
      <c r="P26" s="46"/>
      <c r="Q26" s="57"/>
      <c r="R26" s="57"/>
      <c r="S26" s="57"/>
      <c r="T26" s="57"/>
      <c r="U26" s="46"/>
      <c r="V26" s="65"/>
      <c r="W26" s="46"/>
      <c r="X26" s="65"/>
      <c r="Y26" s="46"/>
      <c r="Z26" s="57"/>
      <c r="AA26" s="65"/>
      <c r="AB26" s="46"/>
      <c r="AC26" s="57"/>
      <c r="AD26" s="57"/>
      <c r="AE26" s="57"/>
      <c r="AF26" s="57"/>
    </row>
    <row r="27" spans="1:32" ht="47.25" thickBot="1">
      <c r="A27" s="46"/>
      <c r="B27" s="48" t="s">
        <v>37</v>
      </c>
      <c r="C27" s="46">
        <f aca="true" t="shared" si="5" ref="C27:AF27">SUM(C20:C26)</f>
        <v>35</v>
      </c>
      <c r="D27" s="46">
        <f t="shared" si="5"/>
        <v>45</v>
      </c>
      <c r="E27" s="46">
        <f t="shared" si="5"/>
        <v>10.9</v>
      </c>
      <c r="F27" s="46">
        <f t="shared" si="5"/>
        <v>0</v>
      </c>
      <c r="G27" s="46">
        <f t="shared" si="5"/>
        <v>72</v>
      </c>
      <c r="H27" s="46">
        <f t="shared" si="5"/>
        <v>0</v>
      </c>
      <c r="I27" s="46">
        <f t="shared" si="5"/>
        <v>44</v>
      </c>
      <c r="J27" s="46">
        <f t="shared" si="5"/>
        <v>94.8</v>
      </c>
      <c r="K27" s="46">
        <f t="shared" si="5"/>
        <v>0</v>
      </c>
      <c r="L27" s="46">
        <f t="shared" si="5"/>
        <v>0</v>
      </c>
      <c r="M27" s="46">
        <f t="shared" si="5"/>
        <v>0</v>
      </c>
      <c r="N27" s="46">
        <f t="shared" si="5"/>
        <v>22</v>
      </c>
      <c r="O27" s="46">
        <f t="shared" si="5"/>
        <v>0</v>
      </c>
      <c r="P27" s="46">
        <f t="shared" si="5"/>
        <v>15</v>
      </c>
      <c r="Q27" s="46">
        <f t="shared" si="5"/>
        <v>11.25</v>
      </c>
      <c r="R27" s="46">
        <f t="shared" si="5"/>
        <v>5</v>
      </c>
      <c r="S27" s="46">
        <f t="shared" si="5"/>
        <v>2.5</v>
      </c>
      <c r="T27" s="46">
        <f t="shared" si="5"/>
        <v>15</v>
      </c>
      <c r="U27" s="46">
        <f t="shared" si="5"/>
        <v>0</v>
      </c>
      <c r="V27" s="46">
        <f t="shared" si="5"/>
        <v>0</v>
      </c>
      <c r="W27" s="46">
        <f t="shared" si="5"/>
        <v>0</v>
      </c>
      <c r="X27" s="46">
        <f t="shared" si="5"/>
        <v>133</v>
      </c>
      <c r="Y27" s="46">
        <f t="shared" si="5"/>
        <v>0</v>
      </c>
      <c r="Z27" s="46">
        <f t="shared" si="5"/>
        <v>3</v>
      </c>
      <c r="AA27" s="46">
        <f t="shared" si="5"/>
        <v>0</v>
      </c>
      <c r="AB27" s="46">
        <f t="shared" si="5"/>
        <v>0</v>
      </c>
      <c r="AC27" s="46">
        <f t="shared" si="5"/>
        <v>0</v>
      </c>
      <c r="AD27" s="46">
        <f t="shared" si="5"/>
        <v>0</v>
      </c>
      <c r="AE27" s="46">
        <f t="shared" si="5"/>
        <v>0</v>
      </c>
      <c r="AF27" s="46">
        <f t="shared" si="5"/>
        <v>0</v>
      </c>
    </row>
    <row r="28" spans="1:32" ht="47.25" thickBot="1">
      <c r="A28" s="156" t="s">
        <v>207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57"/>
    </row>
    <row r="29" spans="1:32" ht="47.25" thickBot="1">
      <c r="A29" s="46">
        <v>69</v>
      </c>
      <c r="B29" s="45" t="s">
        <v>64</v>
      </c>
      <c r="C29" s="46"/>
      <c r="D29" s="51"/>
      <c r="E29" s="51"/>
      <c r="F29" s="51"/>
      <c r="G29" s="51"/>
      <c r="H29" s="51"/>
      <c r="I29" s="51"/>
      <c r="J29" s="51">
        <v>60</v>
      </c>
      <c r="K29" s="51"/>
      <c r="L29" s="51"/>
      <c r="M29" s="51"/>
      <c r="N29" s="51"/>
      <c r="O29" s="52"/>
      <c r="P29" s="44"/>
      <c r="Q29" s="52"/>
      <c r="R29" s="44"/>
      <c r="S29" s="52"/>
      <c r="T29" s="44"/>
      <c r="U29" s="52"/>
      <c r="V29" s="46"/>
      <c r="W29" s="44"/>
      <c r="X29" s="52"/>
      <c r="Y29" s="46"/>
      <c r="Z29" s="44"/>
      <c r="AA29" s="52"/>
      <c r="AB29" s="44"/>
      <c r="AC29" s="46"/>
      <c r="AD29" s="52"/>
      <c r="AE29" s="44"/>
      <c r="AF29" s="51"/>
    </row>
    <row r="30" spans="1:32" ht="47.25" thickBot="1">
      <c r="A30" s="44">
        <v>91</v>
      </c>
      <c r="B30" s="45" t="s">
        <v>55</v>
      </c>
      <c r="C30" s="46"/>
      <c r="D30" s="51"/>
      <c r="E30" s="51"/>
      <c r="F30" s="51"/>
      <c r="G30" s="51"/>
      <c r="H30" s="51"/>
      <c r="I30" s="51">
        <v>128</v>
      </c>
      <c r="J30" s="51"/>
      <c r="K30" s="51"/>
      <c r="L30" s="51"/>
      <c r="M30" s="51"/>
      <c r="N30" s="51"/>
      <c r="O30" s="52"/>
      <c r="P30" s="44"/>
      <c r="Q30" s="52">
        <v>5</v>
      </c>
      <c r="R30" s="44"/>
      <c r="S30" s="52"/>
      <c r="T30" s="44">
        <v>24</v>
      </c>
      <c r="U30" s="66"/>
      <c r="V30" s="44"/>
      <c r="W30" s="44"/>
      <c r="X30" s="52"/>
      <c r="Y30" s="44"/>
      <c r="Z30" s="44"/>
      <c r="AA30" s="52"/>
      <c r="AB30" s="44"/>
      <c r="AC30" s="52"/>
      <c r="AD30" s="44"/>
      <c r="AE30" s="44"/>
      <c r="AF30" s="51"/>
    </row>
    <row r="31" spans="1:32" ht="47.25" thickBot="1">
      <c r="A31" s="44" t="s">
        <v>45</v>
      </c>
      <c r="B31" s="45" t="s">
        <v>114</v>
      </c>
      <c r="C31" s="46">
        <v>30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44"/>
      <c r="W31" s="51"/>
      <c r="X31" s="52"/>
      <c r="Y31" s="44"/>
      <c r="Z31" s="51"/>
      <c r="AA31" s="51"/>
      <c r="AB31" s="51"/>
      <c r="AC31" s="51"/>
      <c r="AD31" s="51"/>
      <c r="AE31" s="51"/>
      <c r="AF31" s="51"/>
    </row>
    <row r="32" spans="1:32" ht="47.25" thickBot="1">
      <c r="A32" s="44">
        <v>2</v>
      </c>
      <c r="B32" s="45" t="s">
        <v>189</v>
      </c>
      <c r="C32" s="4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4"/>
      <c r="P32" s="46">
        <v>12</v>
      </c>
      <c r="Q32" s="44"/>
      <c r="R32" s="52"/>
      <c r="S32" s="44"/>
      <c r="T32" s="46">
        <v>84</v>
      </c>
      <c r="U32" s="44"/>
      <c r="V32" s="52"/>
      <c r="W32" s="44"/>
      <c r="X32" s="52"/>
      <c r="Y32" s="44"/>
      <c r="Z32" s="52"/>
      <c r="AA32" s="44"/>
      <c r="AB32" s="52"/>
      <c r="AC32" s="44">
        <v>2.4</v>
      </c>
      <c r="AD32" s="44"/>
      <c r="AE32" s="44"/>
      <c r="AF32" s="46"/>
    </row>
    <row r="33" spans="1:32" ht="47.25" thickBot="1">
      <c r="A33" s="44">
        <v>21</v>
      </c>
      <c r="B33" s="73" t="s">
        <v>38</v>
      </c>
      <c r="C33" s="44"/>
      <c r="D33" s="51"/>
      <c r="E33" s="44"/>
      <c r="F33" s="44"/>
      <c r="G33" s="44"/>
      <c r="H33" s="51"/>
      <c r="I33" s="51"/>
      <c r="J33" s="51"/>
      <c r="K33" s="51"/>
      <c r="L33" s="51"/>
      <c r="M33" s="51"/>
      <c r="N33" s="51"/>
      <c r="O33" s="52"/>
      <c r="P33" s="46"/>
      <c r="Q33" s="52"/>
      <c r="R33" s="46"/>
      <c r="S33" s="52"/>
      <c r="T33" s="46">
        <v>154</v>
      </c>
      <c r="U33" s="52"/>
      <c r="V33" s="46"/>
      <c r="W33" s="46"/>
      <c r="X33" s="52"/>
      <c r="Y33" s="46"/>
      <c r="Z33" s="46"/>
      <c r="AA33" s="52"/>
      <c r="AB33" s="46"/>
      <c r="AC33" s="52"/>
      <c r="AD33" s="46"/>
      <c r="AE33" s="46"/>
      <c r="AF33" s="51"/>
    </row>
    <row r="34" spans="1:32" ht="47.25" thickBot="1">
      <c r="A34" s="44">
        <v>99</v>
      </c>
      <c r="B34" s="45" t="s">
        <v>209</v>
      </c>
      <c r="C34" s="46"/>
      <c r="D34" s="51"/>
      <c r="E34" s="51">
        <v>34.2</v>
      </c>
      <c r="F34" s="51"/>
      <c r="G34" s="51">
        <v>4</v>
      </c>
      <c r="H34" s="51"/>
      <c r="I34" s="51"/>
      <c r="J34" s="51">
        <v>3.5</v>
      </c>
      <c r="K34" s="51"/>
      <c r="L34" s="51"/>
      <c r="M34" s="51"/>
      <c r="N34" s="51"/>
      <c r="O34" s="51"/>
      <c r="P34" s="51">
        <v>2.3</v>
      </c>
      <c r="Q34" s="51">
        <v>5.2</v>
      </c>
      <c r="R34" s="51">
        <v>0.7</v>
      </c>
      <c r="S34" s="51">
        <v>5.2</v>
      </c>
      <c r="T34" s="51"/>
      <c r="U34" s="51"/>
      <c r="V34" s="51"/>
      <c r="W34" s="51"/>
      <c r="X34" s="51"/>
      <c r="Y34" s="51">
        <v>20</v>
      </c>
      <c r="Z34" s="51"/>
      <c r="AA34" s="51"/>
      <c r="AB34" s="51"/>
      <c r="AC34" s="51"/>
      <c r="AD34" s="51"/>
      <c r="AE34" s="51"/>
      <c r="AF34" s="92">
        <v>1.2</v>
      </c>
    </row>
    <row r="35" spans="1:32" ht="47.25" thickBot="1">
      <c r="A35" s="69"/>
      <c r="B35" s="45" t="s">
        <v>8</v>
      </c>
      <c r="C35" s="46">
        <f>SUM(C29:C34)</f>
        <v>30</v>
      </c>
      <c r="D35" s="46">
        <f aca="true" t="shared" si="6" ref="D35:AF35">SUM(D29:D34)</f>
        <v>0</v>
      </c>
      <c r="E35" s="46">
        <f t="shared" si="6"/>
        <v>34.2</v>
      </c>
      <c r="F35" s="46">
        <f t="shared" si="6"/>
        <v>0</v>
      </c>
      <c r="G35" s="46">
        <f t="shared" si="6"/>
        <v>4</v>
      </c>
      <c r="H35" s="46">
        <f t="shared" si="6"/>
        <v>0</v>
      </c>
      <c r="I35" s="46">
        <f t="shared" si="6"/>
        <v>128</v>
      </c>
      <c r="J35" s="46">
        <f t="shared" si="6"/>
        <v>63.5</v>
      </c>
      <c r="K35" s="46">
        <f t="shared" si="6"/>
        <v>0</v>
      </c>
      <c r="L35" s="46">
        <f t="shared" si="6"/>
        <v>0</v>
      </c>
      <c r="M35" s="46">
        <f t="shared" si="6"/>
        <v>0</v>
      </c>
      <c r="N35" s="46">
        <f t="shared" si="6"/>
        <v>0</v>
      </c>
      <c r="O35" s="46">
        <f t="shared" si="6"/>
        <v>0</v>
      </c>
      <c r="P35" s="46">
        <f t="shared" si="6"/>
        <v>14.3</v>
      </c>
      <c r="Q35" s="46">
        <f t="shared" si="6"/>
        <v>10.2</v>
      </c>
      <c r="R35" s="46">
        <f t="shared" si="6"/>
        <v>0.7</v>
      </c>
      <c r="S35" s="46">
        <f t="shared" si="6"/>
        <v>5.2</v>
      </c>
      <c r="T35" s="46">
        <f t="shared" si="6"/>
        <v>262</v>
      </c>
      <c r="U35" s="46">
        <f t="shared" si="6"/>
        <v>0</v>
      </c>
      <c r="V35" s="46">
        <f t="shared" si="6"/>
        <v>0</v>
      </c>
      <c r="W35" s="46">
        <f t="shared" si="6"/>
        <v>0</v>
      </c>
      <c r="X35" s="46">
        <f t="shared" si="6"/>
        <v>0</v>
      </c>
      <c r="Y35" s="46">
        <f t="shared" si="6"/>
        <v>20</v>
      </c>
      <c r="Z35" s="46">
        <f t="shared" si="6"/>
        <v>0</v>
      </c>
      <c r="AA35" s="46">
        <f t="shared" si="6"/>
        <v>0</v>
      </c>
      <c r="AB35" s="46">
        <f t="shared" si="6"/>
        <v>0</v>
      </c>
      <c r="AC35" s="46">
        <f t="shared" si="6"/>
        <v>2.4</v>
      </c>
      <c r="AD35" s="46">
        <f t="shared" si="6"/>
        <v>0</v>
      </c>
      <c r="AE35" s="46">
        <f t="shared" si="6"/>
        <v>0</v>
      </c>
      <c r="AF35" s="46">
        <f t="shared" si="6"/>
        <v>1.2</v>
      </c>
    </row>
    <row r="36" spans="1:32" ht="93.75" thickBot="1">
      <c r="A36" s="95"/>
      <c r="B36" s="45" t="s">
        <v>145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>
        <v>6</v>
      </c>
      <c r="AF36" s="46"/>
    </row>
    <row r="37" spans="1:32" ht="47.25" thickBot="1">
      <c r="A37" s="44"/>
      <c r="B37" s="74" t="s">
        <v>12</v>
      </c>
      <c r="C37" s="46">
        <f>SUM(C14+C18+C27+C35)</f>
        <v>95</v>
      </c>
      <c r="D37" s="46">
        <f aca="true" t="shared" si="7" ref="D37:AF37">SUM(D14+D18+D27+D35)</f>
        <v>45</v>
      </c>
      <c r="E37" s="46">
        <f t="shared" si="7"/>
        <v>45.1</v>
      </c>
      <c r="F37" s="46">
        <f t="shared" si="7"/>
        <v>0</v>
      </c>
      <c r="G37" s="46">
        <f t="shared" si="7"/>
        <v>76</v>
      </c>
      <c r="H37" s="46">
        <f t="shared" si="7"/>
        <v>0</v>
      </c>
      <c r="I37" s="46">
        <f t="shared" si="7"/>
        <v>172</v>
      </c>
      <c r="J37" s="46">
        <f t="shared" si="7"/>
        <v>158.3</v>
      </c>
      <c r="K37" s="46">
        <f t="shared" si="7"/>
        <v>90</v>
      </c>
      <c r="L37" s="46">
        <f t="shared" si="7"/>
        <v>0</v>
      </c>
      <c r="M37" s="46">
        <f t="shared" si="7"/>
        <v>110</v>
      </c>
      <c r="N37" s="46">
        <f t="shared" si="7"/>
        <v>22</v>
      </c>
      <c r="O37" s="46">
        <f t="shared" si="7"/>
        <v>15</v>
      </c>
      <c r="P37" s="46">
        <f t="shared" si="7"/>
        <v>41.3</v>
      </c>
      <c r="Q37" s="46">
        <f t="shared" si="7"/>
        <v>26.45</v>
      </c>
      <c r="R37" s="46">
        <f t="shared" si="7"/>
        <v>5.7</v>
      </c>
      <c r="S37" s="46">
        <f t="shared" si="7"/>
        <v>27.7</v>
      </c>
      <c r="T37" s="46">
        <f t="shared" si="7"/>
        <v>277</v>
      </c>
      <c r="U37" s="46">
        <f t="shared" si="7"/>
        <v>0</v>
      </c>
      <c r="V37" s="46">
        <f t="shared" si="7"/>
        <v>65</v>
      </c>
      <c r="W37" s="46">
        <f t="shared" si="7"/>
        <v>0</v>
      </c>
      <c r="X37" s="46">
        <f t="shared" si="7"/>
        <v>133</v>
      </c>
      <c r="Y37" s="46">
        <f t="shared" si="7"/>
        <v>20</v>
      </c>
      <c r="Z37" s="46">
        <f t="shared" si="7"/>
        <v>3</v>
      </c>
      <c r="AA37" s="46">
        <f t="shared" si="7"/>
        <v>0</v>
      </c>
      <c r="AB37" s="46">
        <f t="shared" si="7"/>
        <v>0.6</v>
      </c>
      <c r="AC37" s="46">
        <f t="shared" si="7"/>
        <v>2.4</v>
      </c>
      <c r="AD37" s="46">
        <f t="shared" si="7"/>
        <v>0</v>
      </c>
      <c r="AE37" s="46">
        <v>6</v>
      </c>
      <c r="AF37" s="46">
        <f t="shared" si="7"/>
        <v>1.2</v>
      </c>
    </row>
    <row r="38" spans="1:32" ht="47.25" thickBot="1">
      <c r="A38" s="165" t="s">
        <v>65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7"/>
    </row>
    <row r="39" spans="1:32" ht="47.25" thickBot="1">
      <c r="A39" s="165" t="s">
        <v>15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7"/>
    </row>
    <row r="40" spans="1:32" ht="45.75" customHeight="1">
      <c r="A40" s="168" t="s">
        <v>39</v>
      </c>
      <c r="B40" s="170" t="s">
        <v>26</v>
      </c>
      <c r="C40" s="154" t="s">
        <v>114</v>
      </c>
      <c r="D40" s="154" t="s">
        <v>115</v>
      </c>
      <c r="E40" s="154" t="s">
        <v>116</v>
      </c>
      <c r="F40" s="154" t="s">
        <v>117</v>
      </c>
      <c r="G40" s="154" t="s">
        <v>109</v>
      </c>
      <c r="H40" s="154" t="s">
        <v>118</v>
      </c>
      <c r="I40" s="154" t="s">
        <v>246</v>
      </c>
      <c r="J40" s="154" t="s">
        <v>247</v>
      </c>
      <c r="K40" s="90"/>
      <c r="L40" s="90"/>
      <c r="M40" s="154" t="s">
        <v>217</v>
      </c>
      <c r="N40" s="154" t="s">
        <v>121</v>
      </c>
      <c r="O40" s="154" t="s">
        <v>81</v>
      </c>
      <c r="P40" s="154" t="s">
        <v>82</v>
      </c>
      <c r="Q40" s="154" t="s">
        <v>122</v>
      </c>
      <c r="R40" s="154" t="s">
        <v>83</v>
      </c>
      <c r="S40" s="154" t="s">
        <v>123</v>
      </c>
      <c r="T40" s="154" t="s">
        <v>126</v>
      </c>
      <c r="U40" s="154" t="s">
        <v>143</v>
      </c>
      <c r="V40" s="90"/>
      <c r="W40" s="154" t="s">
        <v>248</v>
      </c>
      <c r="X40" s="154" t="s">
        <v>249</v>
      </c>
      <c r="Y40" s="154" t="s">
        <v>250</v>
      </c>
      <c r="Z40" s="154" t="s">
        <v>84</v>
      </c>
      <c r="AA40" s="154" t="s">
        <v>85</v>
      </c>
      <c r="AB40" s="154" t="s">
        <v>89</v>
      </c>
      <c r="AC40" s="90"/>
      <c r="AD40" s="154" t="s">
        <v>124</v>
      </c>
      <c r="AE40" s="154" t="s">
        <v>86</v>
      </c>
      <c r="AF40" s="154" t="s">
        <v>125</v>
      </c>
    </row>
    <row r="41" spans="1:32" ht="397.5" customHeight="1" thickBot="1">
      <c r="A41" s="169"/>
      <c r="B41" s="171"/>
      <c r="C41" s="155"/>
      <c r="D41" s="155"/>
      <c r="E41" s="155"/>
      <c r="F41" s="155"/>
      <c r="G41" s="155"/>
      <c r="H41" s="155"/>
      <c r="I41" s="155"/>
      <c r="J41" s="155"/>
      <c r="K41" s="91" t="s">
        <v>119</v>
      </c>
      <c r="L41" s="91" t="s">
        <v>120</v>
      </c>
      <c r="M41" s="155"/>
      <c r="N41" s="155"/>
      <c r="O41" s="155"/>
      <c r="P41" s="155"/>
      <c r="Q41" s="155"/>
      <c r="R41" s="155"/>
      <c r="S41" s="155"/>
      <c r="T41" s="155"/>
      <c r="U41" s="155"/>
      <c r="V41" s="91" t="s">
        <v>111</v>
      </c>
      <c r="W41" s="155"/>
      <c r="X41" s="155"/>
      <c r="Y41" s="155"/>
      <c r="Z41" s="155"/>
      <c r="AA41" s="155"/>
      <c r="AB41" s="155"/>
      <c r="AC41" s="91" t="s">
        <v>110</v>
      </c>
      <c r="AD41" s="155"/>
      <c r="AE41" s="155"/>
      <c r="AF41" s="155"/>
    </row>
    <row r="42" spans="1:32" ht="47.25" thickBot="1">
      <c r="A42" s="95">
        <v>1</v>
      </c>
      <c r="B42" s="68">
        <v>2</v>
      </c>
      <c r="C42" s="69" t="s">
        <v>112</v>
      </c>
      <c r="D42" s="70">
        <v>4</v>
      </c>
      <c r="E42" s="69">
        <v>5</v>
      </c>
      <c r="F42" s="69">
        <v>6</v>
      </c>
      <c r="G42" s="69">
        <v>7</v>
      </c>
      <c r="H42" s="69">
        <v>8</v>
      </c>
      <c r="I42" s="69" t="s">
        <v>113</v>
      </c>
      <c r="J42" s="70">
        <v>10</v>
      </c>
      <c r="K42" s="69">
        <v>11</v>
      </c>
      <c r="L42" s="85">
        <v>12</v>
      </c>
      <c r="M42" s="69">
        <v>13</v>
      </c>
      <c r="N42" s="69">
        <v>14</v>
      </c>
      <c r="O42" s="69">
        <v>15</v>
      </c>
      <c r="P42" s="69">
        <v>16</v>
      </c>
      <c r="Q42" s="94">
        <v>17</v>
      </c>
      <c r="R42" s="69">
        <v>18</v>
      </c>
      <c r="S42" s="94">
        <v>19</v>
      </c>
      <c r="T42" s="69">
        <v>20</v>
      </c>
      <c r="U42" s="94">
        <v>21</v>
      </c>
      <c r="V42" s="94">
        <v>22</v>
      </c>
      <c r="W42" s="69">
        <v>23</v>
      </c>
      <c r="X42" s="69">
        <v>24</v>
      </c>
      <c r="Y42" s="94">
        <v>25</v>
      </c>
      <c r="Z42" s="69">
        <v>26</v>
      </c>
      <c r="AA42" s="69">
        <v>27</v>
      </c>
      <c r="AB42" s="69">
        <v>28</v>
      </c>
      <c r="AC42" s="94">
        <v>29</v>
      </c>
      <c r="AD42" s="69">
        <v>30</v>
      </c>
      <c r="AE42" s="69">
        <v>31</v>
      </c>
      <c r="AF42" s="92">
        <v>32</v>
      </c>
    </row>
    <row r="43" spans="1:32" ht="47.25" thickBot="1">
      <c r="A43" s="165" t="s">
        <v>7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7"/>
    </row>
    <row r="44" spans="1:32" ht="93.75" thickBot="1">
      <c r="A44" s="44">
        <v>84</v>
      </c>
      <c r="B44" s="71" t="s">
        <v>129</v>
      </c>
      <c r="C44" s="46"/>
      <c r="D44" s="57"/>
      <c r="E44" s="57"/>
      <c r="F44" s="57"/>
      <c r="G44" s="57">
        <v>20</v>
      </c>
      <c r="H44" s="51"/>
      <c r="I44" s="51"/>
      <c r="J44" s="51"/>
      <c r="K44" s="51"/>
      <c r="L44" s="51"/>
      <c r="M44" s="51"/>
      <c r="N44" s="51"/>
      <c r="O44" s="52"/>
      <c r="P44" s="46">
        <v>5</v>
      </c>
      <c r="Q44" s="52">
        <v>3</v>
      </c>
      <c r="R44" s="46"/>
      <c r="S44" s="52"/>
      <c r="T44" s="46">
        <v>150</v>
      </c>
      <c r="U44" s="52"/>
      <c r="V44" s="46"/>
      <c r="W44" s="46"/>
      <c r="X44" s="46"/>
      <c r="Y44" s="52"/>
      <c r="Z44" s="46"/>
      <c r="AA44" s="46"/>
      <c r="AB44" s="46"/>
      <c r="AC44" s="52"/>
      <c r="AD44" s="46"/>
      <c r="AE44" s="52"/>
      <c r="AF44" s="46"/>
    </row>
    <row r="45" spans="1:32" ht="47.25" thickBot="1">
      <c r="A45" s="44">
        <v>15</v>
      </c>
      <c r="B45" s="45" t="s">
        <v>18</v>
      </c>
      <c r="C45" s="46"/>
      <c r="D45" s="57"/>
      <c r="E45" s="57"/>
      <c r="F45" s="57"/>
      <c r="G45" s="57"/>
      <c r="H45" s="51"/>
      <c r="I45" s="51"/>
      <c r="J45" s="51"/>
      <c r="K45" s="51"/>
      <c r="L45" s="51"/>
      <c r="M45" s="51"/>
      <c r="N45" s="51"/>
      <c r="O45" s="52"/>
      <c r="P45" s="46">
        <v>12</v>
      </c>
      <c r="Q45" s="52"/>
      <c r="R45" s="46"/>
      <c r="S45" s="52"/>
      <c r="T45" s="46">
        <v>84</v>
      </c>
      <c r="U45" s="52"/>
      <c r="V45" s="44"/>
      <c r="W45" s="46"/>
      <c r="X45" s="44"/>
      <c r="Y45" s="52"/>
      <c r="Z45" s="46"/>
      <c r="AA45" s="46"/>
      <c r="AB45" s="52"/>
      <c r="AC45" s="44"/>
      <c r="AD45" s="46">
        <v>1.2</v>
      </c>
      <c r="AE45" s="52"/>
      <c r="AF45" s="46"/>
    </row>
    <row r="46" spans="1:32" ht="47.25" thickBot="1">
      <c r="A46" s="44">
        <v>16</v>
      </c>
      <c r="B46" s="45" t="s">
        <v>54</v>
      </c>
      <c r="C46" s="51">
        <v>30</v>
      </c>
      <c r="D46" s="57"/>
      <c r="E46" s="57"/>
      <c r="F46" s="57"/>
      <c r="G46" s="57"/>
      <c r="H46" s="51"/>
      <c r="I46" s="51"/>
      <c r="J46" s="51"/>
      <c r="K46" s="51"/>
      <c r="L46" s="51"/>
      <c r="M46" s="51"/>
      <c r="N46" s="51"/>
      <c r="O46" s="52"/>
      <c r="P46" s="46"/>
      <c r="Q46" s="52">
        <v>5</v>
      </c>
      <c r="R46" s="46"/>
      <c r="S46" s="52"/>
      <c r="T46" s="46"/>
      <c r="U46" s="52"/>
      <c r="V46" s="44"/>
      <c r="W46" s="46"/>
      <c r="X46" s="44"/>
      <c r="Y46" s="52"/>
      <c r="Z46" s="46"/>
      <c r="AA46" s="46"/>
      <c r="AB46" s="52"/>
      <c r="AC46" s="44"/>
      <c r="AD46" s="46"/>
      <c r="AE46" s="52"/>
      <c r="AF46" s="46"/>
    </row>
    <row r="47" spans="1:32" ht="47.25" thickBot="1">
      <c r="A47" s="44"/>
      <c r="B47" s="45" t="s">
        <v>8</v>
      </c>
      <c r="C47" s="46">
        <f aca="true" t="shared" si="8" ref="C47:T47">SUM(C44:C46)</f>
        <v>30</v>
      </c>
      <c r="D47" s="46">
        <f t="shared" si="8"/>
        <v>0</v>
      </c>
      <c r="E47" s="46">
        <f t="shared" si="8"/>
        <v>0</v>
      </c>
      <c r="F47" s="46">
        <f t="shared" si="8"/>
        <v>0</v>
      </c>
      <c r="G47" s="46">
        <f t="shared" si="8"/>
        <v>20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46">
        <f t="shared" si="8"/>
        <v>0</v>
      </c>
      <c r="M47" s="46">
        <f t="shared" si="8"/>
        <v>0</v>
      </c>
      <c r="N47" s="46">
        <f t="shared" si="8"/>
        <v>0</v>
      </c>
      <c r="O47" s="46">
        <f t="shared" si="8"/>
        <v>0</v>
      </c>
      <c r="P47" s="46">
        <f t="shared" si="8"/>
        <v>17</v>
      </c>
      <c r="Q47" s="46">
        <f t="shared" si="8"/>
        <v>8</v>
      </c>
      <c r="R47" s="46">
        <f t="shared" si="8"/>
        <v>0</v>
      </c>
      <c r="S47" s="46">
        <f t="shared" si="8"/>
        <v>0</v>
      </c>
      <c r="T47" s="46">
        <f t="shared" si="8"/>
        <v>234</v>
      </c>
      <c r="U47" s="67">
        <f aca="true" t="shared" si="9" ref="U47:AF47">SUM(U44+U45+U46)</f>
        <v>0</v>
      </c>
      <c r="V47" s="46">
        <f t="shared" si="9"/>
        <v>0</v>
      </c>
      <c r="W47" s="46">
        <f t="shared" si="9"/>
        <v>0</v>
      </c>
      <c r="X47" s="46">
        <f t="shared" si="9"/>
        <v>0</v>
      </c>
      <c r="Y47" s="46">
        <f t="shared" si="9"/>
        <v>0</v>
      </c>
      <c r="Z47" s="46">
        <f t="shared" si="9"/>
        <v>0</v>
      </c>
      <c r="AA47" s="46">
        <f t="shared" si="9"/>
        <v>0</v>
      </c>
      <c r="AB47" s="46">
        <f t="shared" si="9"/>
        <v>0</v>
      </c>
      <c r="AC47" s="46">
        <f t="shared" si="9"/>
        <v>0</v>
      </c>
      <c r="AD47" s="46">
        <f t="shared" si="9"/>
        <v>1.2</v>
      </c>
      <c r="AE47" s="46">
        <f t="shared" si="9"/>
        <v>0</v>
      </c>
      <c r="AF47" s="46">
        <f t="shared" si="9"/>
        <v>0</v>
      </c>
    </row>
    <row r="48" spans="1:32" ht="47.25" thickBot="1">
      <c r="A48" s="156" t="s">
        <v>107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57"/>
    </row>
    <row r="49" spans="1:32" ht="47.25" thickBot="1">
      <c r="A49" s="44" t="s">
        <v>45</v>
      </c>
      <c r="B49" s="48" t="s">
        <v>108</v>
      </c>
      <c r="C49" s="46"/>
      <c r="D49" s="51"/>
      <c r="E49" s="51"/>
      <c r="F49" s="51"/>
      <c r="G49" s="51"/>
      <c r="H49" s="51"/>
      <c r="I49" s="51"/>
      <c r="J49" s="51"/>
      <c r="K49" s="51">
        <v>90</v>
      </c>
      <c r="L49" s="51"/>
      <c r="M49" s="51"/>
      <c r="N49" s="51"/>
      <c r="O49" s="52"/>
      <c r="P49" s="46"/>
      <c r="Q49" s="52"/>
      <c r="R49" s="46"/>
      <c r="S49" s="52"/>
      <c r="T49" s="46"/>
      <c r="U49" s="52"/>
      <c r="V49" s="46"/>
      <c r="W49" s="46"/>
      <c r="X49" s="52"/>
      <c r="Y49" s="46"/>
      <c r="Z49" s="46"/>
      <c r="AA49" s="52"/>
      <c r="AB49" s="46"/>
      <c r="AC49" s="52"/>
      <c r="AD49" s="46"/>
      <c r="AE49" s="46"/>
      <c r="AF49" s="51"/>
    </row>
    <row r="50" spans="1:32" ht="47.25" thickBot="1">
      <c r="A50" s="44" t="s">
        <v>45</v>
      </c>
      <c r="B50" s="45" t="s">
        <v>78</v>
      </c>
      <c r="C50" s="46"/>
      <c r="D50" s="57"/>
      <c r="E50" s="57"/>
      <c r="F50" s="57"/>
      <c r="G50" s="57"/>
      <c r="H50" s="51"/>
      <c r="I50" s="51"/>
      <c r="J50" s="51"/>
      <c r="K50" s="51"/>
      <c r="L50" s="51"/>
      <c r="M50" s="51">
        <v>110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46"/>
      <c r="AC50" s="51"/>
      <c r="AD50" s="51"/>
      <c r="AE50" s="51"/>
      <c r="AF50" s="51"/>
    </row>
    <row r="51" spans="1:32" ht="47.25" thickBot="1">
      <c r="A51" s="44"/>
      <c r="B51" s="45" t="s">
        <v>37</v>
      </c>
      <c r="C51" s="46">
        <f aca="true" t="shared" si="10" ref="C51:AE51">SUM(C49:C50)</f>
        <v>0</v>
      </c>
      <c r="D51" s="46">
        <f t="shared" si="10"/>
        <v>0</v>
      </c>
      <c r="E51" s="46">
        <f t="shared" si="10"/>
        <v>0</v>
      </c>
      <c r="F51" s="46">
        <f t="shared" si="10"/>
        <v>0</v>
      </c>
      <c r="G51" s="46">
        <f t="shared" si="10"/>
        <v>0</v>
      </c>
      <c r="H51" s="46">
        <f t="shared" si="10"/>
        <v>0</v>
      </c>
      <c r="I51" s="46">
        <f t="shared" si="10"/>
        <v>0</v>
      </c>
      <c r="J51" s="46">
        <f t="shared" si="10"/>
        <v>0</v>
      </c>
      <c r="K51" s="46">
        <f t="shared" si="10"/>
        <v>90</v>
      </c>
      <c r="L51" s="46">
        <f t="shared" si="10"/>
        <v>0</v>
      </c>
      <c r="M51" s="46">
        <f t="shared" si="10"/>
        <v>110</v>
      </c>
      <c r="N51" s="46">
        <f t="shared" si="10"/>
        <v>0</v>
      </c>
      <c r="O51" s="46">
        <f t="shared" si="10"/>
        <v>0</v>
      </c>
      <c r="P51" s="46">
        <f t="shared" si="10"/>
        <v>0</v>
      </c>
      <c r="Q51" s="46">
        <f t="shared" si="10"/>
        <v>0</v>
      </c>
      <c r="R51" s="46">
        <f t="shared" si="10"/>
        <v>0</v>
      </c>
      <c r="S51" s="46">
        <f t="shared" si="10"/>
        <v>0</v>
      </c>
      <c r="T51" s="46">
        <f t="shared" si="10"/>
        <v>0</v>
      </c>
      <c r="U51" s="46">
        <f t="shared" si="10"/>
        <v>0</v>
      </c>
      <c r="V51" s="46">
        <f t="shared" si="10"/>
        <v>0</v>
      </c>
      <c r="W51" s="46">
        <f t="shared" si="10"/>
        <v>0</v>
      </c>
      <c r="X51" s="46">
        <f t="shared" si="10"/>
        <v>0</v>
      </c>
      <c r="Y51" s="46">
        <f t="shared" si="10"/>
        <v>0</v>
      </c>
      <c r="Z51" s="46">
        <f t="shared" si="10"/>
        <v>0</v>
      </c>
      <c r="AA51" s="46">
        <f t="shared" si="10"/>
        <v>0</v>
      </c>
      <c r="AB51" s="46">
        <f t="shared" si="10"/>
        <v>0</v>
      </c>
      <c r="AC51" s="46">
        <f t="shared" si="10"/>
        <v>0</v>
      </c>
      <c r="AD51" s="46">
        <f t="shared" si="10"/>
        <v>0</v>
      </c>
      <c r="AE51" s="46">
        <f t="shared" si="10"/>
        <v>0</v>
      </c>
      <c r="AF51" s="51">
        <f>SUM(AF49)</f>
        <v>0</v>
      </c>
    </row>
    <row r="52" spans="1:32" ht="47.25" thickBot="1">
      <c r="A52" s="156" t="s">
        <v>40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57"/>
    </row>
    <row r="53" spans="1:32" ht="47.25" thickBot="1">
      <c r="A53" s="44">
        <v>95</v>
      </c>
      <c r="B53" s="45" t="s">
        <v>210</v>
      </c>
      <c r="C53" s="46"/>
      <c r="D53" s="51"/>
      <c r="E53" s="51"/>
      <c r="F53" s="51"/>
      <c r="G53" s="51"/>
      <c r="H53" s="51"/>
      <c r="I53" s="51"/>
      <c r="J53" s="51">
        <v>39</v>
      </c>
      <c r="K53" s="51"/>
      <c r="L53" s="51"/>
      <c r="M53" s="51">
        <v>25</v>
      </c>
      <c r="N53" s="51"/>
      <c r="O53" s="44"/>
      <c r="P53" s="52"/>
      <c r="Q53" s="44"/>
      <c r="R53" s="52">
        <v>4</v>
      </c>
      <c r="S53" s="44"/>
      <c r="T53" s="52"/>
      <c r="U53" s="44"/>
      <c r="V53" s="52"/>
      <c r="W53" s="46"/>
      <c r="X53" s="52"/>
      <c r="Y53" s="44"/>
      <c r="Z53" s="52"/>
      <c r="AA53" s="44"/>
      <c r="AB53" s="46"/>
      <c r="AC53" s="52"/>
      <c r="AD53" s="44"/>
      <c r="AE53" s="44"/>
      <c r="AF53" s="51"/>
    </row>
    <row r="54" spans="1:32" ht="47.25" thickBot="1">
      <c r="A54" s="44">
        <v>46</v>
      </c>
      <c r="B54" s="45" t="s">
        <v>203</v>
      </c>
      <c r="C54" s="46"/>
      <c r="D54" s="51"/>
      <c r="E54" s="51"/>
      <c r="F54" s="51"/>
      <c r="G54" s="51">
        <v>6</v>
      </c>
      <c r="H54" s="51"/>
      <c r="I54" s="51">
        <v>75</v>
      </c>
      <c r="J54" s="51">
        <v>31.5</v>
      </c>
      <c r="K54" s="51"/>
      <c r="L54" s="51"/>
      <c r="M54" s="51"/>
      <c r="N54" s="51"/>
      <c r="O54" s="52"/>
      <c r="P54" s="44"/>
      <c r="Q54" s="52"/>
      <c r="R54" s="44">
        <v>4</v>
      </c>
      <c r="S54" s="52"/>
      <c r="T54" s="44"/>
      <c r="U54" s="52"/>
      <c r="V54" s="44"/>
      <c r="W54" s="44"/>
      <c r="X54" s="51">
        <v>32</v>
      </c>
      <c r="Y54" s="44"/>
      <c r="Z54" s="46"/>
      <c r="AA54" s="52"/>
      <c r="AB54" s="44"/>
      <c r="AC54" s="44"/>
      <c r="AD54" s="52"/>
      <c r="AE54" s="44"/>
      <c r="AF54" s="51"/>
    </row>
    <row r="55" spans="1:32" ht="47.25" thickBot="1">
      <c r="A55" s="44">
        <v>6</v>
      </c>
      <c r="B55" s="45" t="s">
        <v>69</v>
      </c>
      <c r="C55" s="51">
        <v>13</v>
      </c>
      <c r="D55" s="51"/>
      <c r="E55" s="51"/>
      <c r="F55" s="51"/>
      <c r="G55" s="51"/>
      <c r="H55" s="51"/>
      <c r="I55" s="51"/>
      <c r="J55" s="51">
        <v>6</v>
      </c>
      <c r="K55" s="51"/>
      <c r="L55" s="51"/>
      <c r="M55" s="51"/>
      <c r="N55" s="51"/>
      <c r="O55" s="52"/>
      <c r="P55" s="44"/>
      <c r="Q55" s="52"/>
      <c r="R55" s="44">
        <v>4</v>
      </c>
      <c r="S55" s="52">
        <v>4</v>
      </c>
      <c r="T55" s="44">
        <v>16</v>
      </c>
      <c r="U55" s="44"/>
      <c r="V55" s="52"/>
      <c r="W55" s="44">
        <v>48</v>
      </c>
      <c r="X55" s="52"/>
      <c r="Y55" s="44"/>
      <c r="Z55" s="44"/>
      <c r="AA55" s="52"/>
      <c r="AB55" s="44"/>
      <c r="AC55" s="52"/>
      <c r="AD55" s="44"/>
      <c r="AE55" s="44"/>
      <c r="AF55" s="51"/>
    </row>
    <row r="56" spans="1:32" ht="47.25" thickBot="1">
      <c r="A56" s="44">
        <v>27</v>
      </c>
      <c r="B56" s="45" t="s">
        <v>46</v>
      </c>
      <c r="C56" s="46"/>
      <c r="D56" s="51"/>
      <c r="E56" s="51">
        <v>2</v>
      </c>
      <c r="F56" s="51"/>
      <c r="G56" s="51"/>
      <c r="H56" s="51"/>
      <c r="I56" s="51"/>
      <c r="J56" s="51">
        <v>187</v>
      </c>
      <c r="K56" s="51"/>
      <c r="L56" s="51"/>
      <c r="M56" s="51"/>
      <c r="N56" s="51"/>
      <c r="O56" s="44"/>
      <c r="P56" s="52">
        <v>2</v>
      </c>
      <c r="Q56" s="44">
        <v>7.5</v>
      </c>
      <c r="R56" s="52"/>
      <c r="S56" s="44"/>
      <c r="T56" s="52"/>
      <c r="U56" s="66"/>
      <c r="V56" s="44"/>
      <c r="W56" s="44"/>
      <c r="X56" s="52"/>
      <c r="Y56" s="44"/>
      <c r="Z56" s="52"/>
      <c r="AA56" s="44"/>
      <c r="AB56" s="44"/>
      <c r="AC56" s="52"/>
      <c r="AD56" s="44"/>
      <c r="AE56" s="44"/>
      <c r="AF56" s="51"/>
    </row>
    <row r="57" spans="1:32" ht="47.25" thickBot="1">
      <c r="A57" s="44">
        <v>9</v>
      </c>
      <c r="B57" s="45" t="s">
        <v>74</v>
      </c>
      <c r="C57" s="46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>
        <v>22</v>
      </c>
      <c r="O57" s="52"/>
      <c r="P57" s="44">
        <v>15</v>
      </c>
      <c r="Q57" s="52"/>
      <c r="R57" s="44"/>
      <c r="S57" s="52"/>
      <c r="T57" s="44"/>
      <c r="U57" s="44"/>
      <c r="V57" s="52"/>
      <c r="W57" s="44"/>
      <c r="X57" s="52"/>
      <c r="Y57" s="44"/>
      <c r="Z57" s="44"/>
      <c r="AA57" s="52"/>
      <c r="AB57" s="44"/>
      <c r="AC57" s="52"/>
      <c r="AD57" s="44"/>
      <c r="AE57" s="44"/>
      <c r="AF57" s="51"/>
    </row>
    <row r="58" spans="1:32" ht="47.25" thickBot="1">
      <c r="A58" s="44" t="s">
        <v>45</v>
      </c>
      <c r="B58" s="45" t="s">
        <v>114</v>
      </c>
      <c r="C58" s="51">
        <v>35</v>
      </c>
      <c r="D58" s="57"/>
      <c r="E58" s="57"/>
      <c r="F58" s="57"/>
      <c r="G58" s="57"/>
      <c r="H58" s="51"/>
      <c r="I58" s="51"/>
      <c r="J58" s="51"/>
      <c r="K58" s="51"/>
      <c r="L58" s="51"/>
      <c r="M58" s="51"/>
      <c r="N58" s="51"/>
      <c r="O58" s="52"/>
      <c r="P58" s="46"/>
      <c r="Q58" s="52"/>
      <c r="R58" s="46"/>
      <c r="S58" s="52"/>
      <c r="T58" s="46"/>
      <c r="U58" s="52"/>
      <c r="V58" s="44"/>
      <c r="W58" s="46"/>
      <c r="X58" s="52"/>
      <c r="Y58" s="44"/>
      <c r="Z58" s="46"/>
      <c r="AA58" s="46"/>
      <c r="AB58" s="52"/>
      <c r="AC58" s="44"/>
      <c r="AD58" s="46"/>
      <c r="AE58" s="52"/>
      <c r="AF58" s="46"/>
    </row>
    <row r="59" spans="1:32" ht="47.25" thickBot="1">
      <c r="A59" s="44" t="s">
        <v>45</v>
      </c>
      <c r="B59" s="45" t="s">
        <v>144</v>
      </c>
      <c r="C59" s="46"/>
      <c r="D59" s="51">
        <v>45</v>
      </c>
      <c r="E59" s="57"/>
      <c r="F59" s="57"/>
      <c r="G59" s="57"/>
      <c r="H59" s="51"/>
      <c r="I59" s="51"/>
      <c r="J59" s="51"/>
      <c r="K59" s="51"/>
      <c r="L59" s="51"/>
      <c r="M59" s="51"/>
      <c r="N59" s="51"/>
      <c r="O59" s="52"/>
      <c r="P59" s="46"/>
      <c r="Q59" s="52"/>
      <c r="R59" s="46"/>
      <c r="S59" s="52"/>
      <c r="T59" s="46"/>
      <c r="U59" s="52"/>
      <c r="V59" s="44"/>
      <c r="W59" s="46"/>
      <c r="X59" s="52"/>
      <c r="Y59" s="44"/>
      <c r="Z59" s="46"/>
      <c r="AA59" s="46"/>
      <c r="AB59" s="52"/>
      <c r="AC59" s="44"/>
      <c r="AD59" s="46"/>
      <c r="AE59" s="52"/>
      <c r="AF59" s="46"/>
    </row>
    <row r="60" spans="1:32" ht="47.25" thickBot="1">
      <c r="A60" s="46"/>
      <c r="B60" s="48" t="s">
        <v>8</v>
      </c>
      <c r="C60" s="46">
        <f aca="true" t="shared" si="11" ref="C60:AF60">SUM(C53:C59)</f>
        <v>48</v>
      </c>
      <c r="D60" s="46">
        <f t="shared" si="11"/>
        <v>45</v>
      </c>
      <c r="E60" s="46">
        <f t="shared" si="11"/>
        <v>2</v>
      </c>
      <c r="F60" s="46">
        <f t="shared" si="11"/>
        <v>0</v>
      </c>
      <c r="G60" s="46">
        <f t="shared" si="11"/>
        <v>6</v>
      </c>
      <c r="H60" s="46">
        <f t="shared" si="11"/>
        <v>0</v>
      </c>
      <c r="I60" s="46">
        <f t="shared" si="11"/>
        <v>75</v>
      </c>
      <c r="J60" s="46">
        <f t="shared" si="11"/>
        <v>263.5</v>
      </c>
      <c r="K60" s="46">
        <f t="shared" si="11"/>
        <v>0</v>
      </c>
      <c r="L60" s="46">
        <f t="shared" si="11"/>
        <v>0</v>
      </c>
      <c r="M60" s="46">
        <f t="shared" si="11"/>
        <v>25</v>
      </c>
      <c r="N60" s="46">
        <f t="shared" si="11"/>
        <v>22</v>
      </c>
      <c r="O60" s="46">
        <f t="shared" si="11"/>
        <v>0</v>
      </c>
      <c r="P60" s="46">
        <f t="shared" si="11"/>
        <v>17</v>
      </c>
      <c r="Q60" s="46">
        <f t="shared" si="11"/>
        <v>7.5</v>
      </c>
      <c r="R60" s="46">
        <f t="shared" si="11"/>
        <v>12</v>
      </c>
      <c r="S60" s="46">
        <f t="shared" si="11"/>
        <v>4</v>
      </c>
      <c r="T60" s="46">
        <f t="shared" si="11"/>
        <v>16</v>
      </c>
      <c r="U60" s="46">
        <f t="shared" si="11"/>
        <v>0</v>
      </c>
      <c r="V60" s="46">
        <f t="shared" si="11"/>
        <v>0</v>
      </c>
      <c r="W60" s="46">
        <f t="shared" si="11"/>
        <v>48</v>
      </c>
      <c r="X60" s="46">
        <f t="shared" si="11"/>
        <v>32</v>
      </c>
      <c r="Y60" s="46">
        <f t="shared" si="11"/>
        <v>0</v>
      </c>
      <c r="Z60" s="46">
        <f t="shared" si="11"/>
        <v>0</v>
      </c>
      <c r="AA60" s="46">
        <f t="shared" si="11"/>
        <v>0</v>
      </c>
      <c r="AB60" s="46">
        <f t="shared" si="11"/>
        <v>0</v>
      </c>
      <c r="AC60" s="46">
        <f t="shared" si="11"/>
        <v>0</v>
      </c>
      <c r="AD60" s="46">
        <f t="shared" si="11"/>
        <v>0</v>
      </c>
      <c r="AE60" s="46">
        <f t="shared" si="11"/>
        <v>0</v>
      </c>
      <c r="AF60" s="46">
        <f t="shared" si="11"/>
        <v>0</v>
      </c>
    </row>
    <row r="61" spans="1:32" ht="46.5" customHeight="1" thickBot="1">
      <c r="A61" s="156" t="s">
        <v>207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57"/>
    </row>
    <row r="62" spans="1:32" ht="47.25" thickBot="1">
      <c r="A62" s="44">
        <v>49</v>
      </c>
      <c r="B62" s="45" t="s">
        <v>77</v>
      </c>
      <c r="C62" s="46"/>
      <c r="D62" s="51"/>
      <c r="E62" s="51"/>
      <c r="F62" s="51"/>
      <c r="G62" s="51">
        <v>9</v>
      </c>
      <c r="H62" s="51"/>
      <c r="I62" s="57"/>
      <c r="J62" s="57"/>
      <c r="K62" s="57"/>
      <c r="L62" s="57"/>
      <c r="M62" s="57"/>
      <c r="N62" s="57">
        <v>12.2</v>
      </c>
      <c r="O62" s="57"/>
      <c r="P62" s="57">
        <v>12</v>
      </c>
      <c r="Q62" s="57">
        <v>3</v>
      </c>
      <c r="R62" s="57"/>
      <c r="S62" s="57">
        <v>10</v>
      </c>
      <c r="T62" s="57">
        <v>20</v>
      </c>
      <c r="U62" s="57">
        <v>91</v>
      </c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</row>
    <row r="63" spans="1:32" ht="47.25" thickBot="1">
      <c r="A63" s="49">
        <v>76</v>
      </c>
      <c r="B63" s="50" t="s">
        <v>61</v>
      </c>
      <c r="C63" s="46"/>
      <c r="D63" s="57"/>
      <c r="E63" s="57"/>
      <c r="F63" s="57"/>
      <c r="G63" s="57"/>
      <c r="H63" s="51"/>
      <c r="I63" s="51"/>
      <c r="J63" s="51"/>
      <c r="K63" s="51"/>
      <c r="L63" s="51"/>
      <c r="M63" s="51"/>
      <c r="N63" s="51"/>
      <c r="O63" s="51"/>
      <c r="P63" s="46">
        <v>12</v>
      </c>
      <c r="Q63" s="51"/>
      <c r="R63" s="51"/>
      <c r="S63" s="51"/>
      <c r="T63" s="51">
        <v>50</v>
      </c>
      <c r="U63" s="51"/>
      <c r="V63" s="51"/>
      <c r="W63" s="51"/>
      <c r="X63" s="51"/>
      <c r="Y63" s="51"/>
      <c r="Z63" s="51"/>
      <c r="AA63" s="51"/>
      <c r="AB63" s="46">
        <v>0.6</v>
      </c>
      <c r="AC63" s="51"/>
      <c r="AD63" s="51"/>
      <c r="AE63" s="51"/>
      <c r="AF63" s="51"/>
    </row>
    <row r="64" spans="1:32" ht="47.25" thickBot="1">
      <c r="A64" s="44">
        <v>21</v>
      </c>
      <c r="B64" s="73" t="s">
        <v>38</v>
      </c>
      <c r="C64" s="44"/>
      <c r="D64" s="51"/>
      <c r="E64" s="44"/>
      <c r="F64" s="44"/>
      <c r="G64" s="44"/>
      <c r="H64" s="51"/>
      <c r="I64" s="51"/>
      <c r="J64" s="51"/>
      <c r="K64" s="51"/>
      <c r="L64" s="51"/>
      <c r="M64" s="51"/>
      <c r="N64" s="51"/>
      <c r="O64" s="52"/>
      <c r="P64" s="46"/>
      <c r="Q64" s="52"/>
      <c r="R64" s="46"/>
      <c r="S64" s="52"/>
      <c r="T64" s="46">
        <v>154</v>
      </c>
      <c r="U64" s="52"/>
      <c r="V64" s="46"/>
      <c r="W64" s="46"/>
      <c r="X64" s="52"/>
      <c r="Y64" s="46"/>
      <c r="Z64" s="46"/>
      <c r="AA64" s="52"/>
      <c r="AB64" s="46"/>
      <c r="AC64" s="52"/>
      <c r="AD64" s="52"/>
      <c r="AE64" s="46"/>
      <c r="AF64" s="51"/>
    </row>
    <row r="65" spans="1:32" ht="186.75" thickBot="1">
      <c r="A65" s="44" t="s">
        <v>45</v>
      </c>
      <c r="B65" s="45" t="s">
        <v>134</v>
      </c>
      <c r="C65" s="46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>
        <v>45</v>
      </c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47.25" thickBot="1">
      <c r="A66" s="69"/>
      <c r="B66" s="45" t="s">
        <v>8</v>
      </c>
      <c r="C66" s="46">
        <f>SUM(C62:C65)</f>
        <v>0</v>
      </c>
      <c r="D66" s="46">
        <f aca="true" t="shared" si="12" ref="D66:AF66">SUM(D62:D65)</f>
        <v>0</v>
      </c>
      <c r="E66" s="46">
        <f t="shared" si="12"/>
        <v>0</v>
      </c>
      <c r="F66" s="46">
        <f t="shared" si="12"/>
        <v>0</v>
      </c>
      <c r="G66" s="46">
        <f t="shared" si="12"/>
        <v>9</v>
      </c>
      <c r="H66" s="46">
        <f t="shared" si="12"/>
        <v>0</v>
      </c>
      <c r="I66" s="46">
        <f t="shared" si="12"/>
        <v>0</v>
      </c>
      <c r="J66" s="46">
        <f t="shared" si="12"/>
        <v>0</v>
      </c>
      <c r="K66" s="46">
        <f t="shared" si="12"/>
        <v>0</v>
      </c>
      <c r="L66" s="46">
        <f t="shared" si="12"/>
        <v>0</v>
      </c>
      <c r="M66" s="46">
        <f t="shared" si="12"/>
        <v>0</v>
      </c>
      <c r="N66" s="46">
        <f t="shared" si="12"/>
        <v>12.2</v>
      </c>
      <c r="O66" s="46">
        <f t="shared" si="12"/>
        <v>45</v>
      </c>
      <c r="P66" s="46">
        <f t="shared" si="12"/>
        <v>24</v>
      </c>
      <c r="Q66" s="46">
        <f t="shared" si="12"/>
        <v>3</v>
      </c>
      <c r="R66" s="46">
        <f t="shared" si="12"/>
        <v>0</v>
      </c>
      <c r="S66" s="46">
        <f t="shared" si="12"/>
        <v>10</v>
      </c>
      <c r="T66" s="46">
        <f t="shared" si="12"/>
        <v>224</v>
      </c>
      <c r="U66" s="46">
        <f t="shared" si="12"/>
        <v>91</v>
      </c>
      <c r="V66" s="46">
        <f t="shared" si="12"/>
        <v>0</v>
      </c>
      <c r="W66" s="46">
        <f t="shared" si="12"/>
        <v>0</v>
      </c>
      <c r="X66" s="46">
        <f t="shared" si="12"/>
        <v>0</v>
      </c>
      <c r="Y66" s="46">
        <f t="shared" si="12"/>
        <v>0</v>
      </c>
      <c r="Z66" s="46">
        <f t="shared" si="12"/>
        <v>0</v>
      </c>
      <c r="AA66" s="46">
        <f t="shared" si="12"/>
        <v>0</v>
      </c>
      <c r="AB66" s="46">
        <f t="shared" si="12"/>
        <v>0.6</v>
      </c>
      <c r="AC66" s="46">
        <f t="shared" si="12"/>
        <v>0</v>
      </c>
      <c r="AD66" s="46">
        <f t="shared" si="12"/>
        <v>0</v>
      </c>
      <c r="AE66" s="46">
        <f t="shared" si="12"/>
        <v>0</v>
      </c>
      <c r="AF66" s="46">
        <f t="shared" si="12"/>
        <v>0</v>
      </c>
    </row>
    <row r="67" spans="1:32" ht="93.75" thickBot="1">
      <c r="A67" s="95"/>
      <c r="B67" s="45" t="s">
        <v>145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>
        <v>6</v>
      </c>
      <c r="AF67" s="46"/>
    </row>
    <row r="68" spans="1:32" ht="47.25" thickBot="1">
      <c r="A68" s="44"/>
      <c r="B68" s="74" t="s">
        <v>12</v>
      </c>
      <c r="C68" s="46">
        <f aca="true" t="shared" si="13" ref="C68:AD68">SUM(C47+C51+C60+C66)</f>
        <v>78</v>
      </c>
      <c r="D68" s="46">
        <f t="shared" si="13"/>
        <v>45</v>
      </c>
      <c r="E68" s="46">
        <f t="shared" si="13"/>
        <v>2</v>
      </c>
      <c r="F68" s="46">
        <f t="shared" si="13"/>
        <v>0</v>
      </c>
      <c r="G68" s="46">
        <f t="shared" si="13"/>
        <v>35</v>
      </c>
      <c r="H68" s="46">
        <f t="shared" si="13"/>
        <v>0</v>
      </c>
      <c r="I68" s="46">
        <f t="shared" si="13"/>
        <v>75</v>
      </c>
      <c r="J68" s="46">
        <f t="shared" si="13"/>
        <v>263.5</v>
      </c>
      <c r="K68" s="46">
        <f t="shared" si="13"/>
        <v>90</v>
      </c>
      <c r="L68" s="46">
        <f t="shared" si="13"/>
        <v>0</v>
      </c>
      <c r="M68" s="46">
        <f t="shared" si="13"/>
        <v>135</v>
      </c>
      <c r="N68" s="46">
        <f t="shared" si="13"/>
        <v>34.2</v>
      </c>
      <c r="O68" s="46">
        <f t="shared" si="13"/>
        <v>45</v>
      </c>
      <c r="P68" s="46">
        <f t="shared" si="13"/>
        <v>58</v>
      </c>
      <c r="Q68" s="46">
        <f t="shared" si="13"/>
        <v>18.5</v>
      </c>
      <c r="R68" s="46">
        <f t="shared" si="13"/>
        <v>12</v>
      </c>
      <c r="S68" s="46">
        <f t="shared" si="13"/>
        <v>14</v>
      </c>
      <c r="T68" s="46">
        <f t="shared" si="13"/>
        <v>474</v>
      </c>
      <c r="U68" s="46">
        <f t="shared" si="13"/>
        <v>91</v>
      </c>
      <c r="V68" s="46">
        <f t="shared" si="13"/>
        <v>0</v>
      </c>
      <c r="W68" s="46">
        <f t="shared" si="13"/>
        <v>48</v>
      </c>
      <c r="X68" s="46">
        <f t="shared" si="13"/>
        <v>32</v>
      </c>
      <c r="Y68" s="46">
        <f t="shared" si="13"/>
        <v>0</v>
      </c>
      <c r="Z68" s="46">
        <f t="shared" si="13"/>
        <v>0</v>
      </c>
      <c r="AA68" s="46">
        <f t="shared" si="13"/>
        <v>0</v>
      </c>
      <c r="AB68" s="46">
        <f t="shared" si="13"/>
        <v>0.6</v>
      </c>
      <c r="AC68" s="46">
        <f t="shared" si="13"/>
        <v>0</v>
      </c>
      <c r="AD68" s="46">
        <f t="shared" si="13"/>
        <v>1.2</v>
      </c>
      <c r="AE68" s="46">
        <v>6</v>
      </c>
      <c r="AF68" s="46">
        <f>SUM(AF47+AF51+AF60+AF66)</f>
        <v>0</v>
      </c>
    </row>
    <row r="69" spans="1:32" ht="47.25" thickBot="1">
      <c r="A69" s="165" t="s">
        <v>65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7"/>
    </row>
    <row r="70" spans="1:32" ht="47.25" thickBot="1">
      <c r="A70" s="165" t="s">
        <v>16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7"/>
    </row>
    <row r="71" spans="1:32" ht="45.75" customHeight="1">
      <c r="A71" s="168" t="s">
        <v>39</v>
      </c>
      <c r="B71" s="170" t="s">
        <v>26</v>
      </c>
      <c r="C71" s="154" t="s">
        <v>114</v>
      </c>
      <c r="D71" s="154" t="s">
        <v>115</v>
      </c>
      <c r="E71" s="154" t="s">
        <v>116</v>
      </c>
      <c r="F71" s="154" t="s">
        <v>117</v>
      </c>
      <c r="G71" s="154" t="s">
        <v>109</v>
      </c>
      <c r="H71" s="154" t="s">
        <v>118</v>
      </c>
      <c r="I71" s="154" t="s">
        <v>246</v>
      </c>
      <c r="J71" s="154" t="s">
        <v>247</v>
      </c>
      <c r="K71" s="90"/>
      <c r="L71" s="90"/>
      <c r="M71" s="154" t="s">
        <v>217</v>
      </c>
      <c r="N71" s="154" t="s">
        <v>121</v>
      </c>
      <c r="O71" s="154" t="s">
        <v>81</v>
      </c>
      <c r="P71" s="154" t="s">
        <v>82</v>
      </c>
      <c r="Q71" s="154" t="s">
        <v>122</v>
      </c>
      <c r="R71" s="154" t="s">
        <v>83</v>
      </c>
      <c r="S71" s="154" t="s">
        <v>123</v>
      </c>
      <c r="T71" s="154" t="s">
        <v>126</v>
      </c>
      <c r="U71" s="154" t="s">
        <v>143</v>
      </c>
      <c r="V71" s="90"/>
      <c r="W71" s="154" t="s">
        <v>248</v>
      </c>
      <c r="X71" s="154" t="s">
        <v>249</v>
      </c>
      <c r="Y71" s="154" t="s">
        <v>250</v>
      </c>
      <c r="Z71" s="154" t="s">
        <v>84</v>
      </c>
      <c r="AA71" s="154" t="s">
        <v>85</v>
      </c>
      <c r="AB71" s="154" t="s">
        <v>89</v>
      </c>
      <c r="AC71" s="90"/>
      <c r="AD71" s="154" t="s">
        <v>124</v>
      </c>
      <c r="AE71" s="154" t="s">
        <v>86</v>
      </c>
      <c r="AF71" s="154" t="s">
        <v>125</v>
      </c>
    </row>
    <row r="72" spans="1:32" s="96" customFormat="1" ht="397.5" customHeight="1" thickBot="1">
      <c r="A72" s="169"/>
      <c r="B72" s="171"/>
      <c r="C72" s="155"/>
      <c r="D72" s="155"/>
      <c r="E72" s="155"/>
      <c r="F72" s="155"/>
      <c r="G72" s="155"/>
      <c r="H72" s="155"/>
      <c r="I72" s="155"/>
      <c r="J72" s="155"/>
      <c r="K72" s="91" t="s">
        <v>119</v>
      </c>
      <c r="L72" s="91" t="s">
        <v>120</v>
      </c>
      <c r="M72" s="155"/>
      <c r="N72" s="155"/>
      <c r="O72" s="155"/>
      <c r="P72" s="155"/>
      <c r="Q72" s="155"/>
      <c r="R72" s="155"/>
      <c r="S72" s="155"/>
      <c r="T72" s="155"/>
      <c r="U72" s="155"/>
      <c r="V72" s="91" t="s">
        <v>111</v>
      </c>
      <c r="W72" s="155"/>
      <c r="X72" s="155"/>
      <c r="Y72" s="155"/>
      <c r="Z72" s="155"/>
      <c r="AA72" s="155"/>
      <c r="AB72" s="155"/>
      <c r="AC72" s="91" t="s">
        <v>110</v>
      </c>
      <c r="AD72" s="155"/>
      <c r="AE72" s="155"/>
      <c r="AF72" s="155"/>
    </row>
    <row r="73" spans="1:32" ht="47.25" thickBot="1">
      <c r="A73" s="95">
        <v>1</v>
      </c>
      <c r="B73" s="68">
        <v>2</v>
      </c>
      <c r="C73" s="69" t="s">
        <v>112</v>
      </c>
      <c r="D73" s="70">
        <v>4</v>
      </c>
      <c r="E73" s="69">
        <v>5</v>
      </c>
      <c r="F73" s="69">
        <v>6</v>
      </c>
      <c r="G73" s="69">
        <v>7</v>
      </c>
      <c r="H73" s="69">
        <v>8</v>
      </c>
      <c r="I73" s="69" t="s">
        <v>113</v>
      </c>
      <c r="J73" s="70">
        <v>10</v>
      </c>
      <c r="K73" s="69">
        <v>11</v>
      </c>
      <c r="L73" s="85">
        <v>12</v>
      </c>
      <c r="M73" s="69">
        <v>13</v>
      </c>
      <c r="N73" s="69">
        <v>14</v>
      </c>
      <c r="O73" s="69">
        <v>15</v>
      </c>
      <c r="P73" s="69">
        <v>16</v>
      </c>
      <c r="Q73" s="94">
        <v>17</v>
      </c>
      <c r="R73" s="69">
        <v>18</v>
      </c>
      <c r="S73" s="94">
        <v>19</v>
      </c>
      <c r="T73" s="69">
        <v>20</v>
      </c>
      <c r="U73" s="94">
        <v>21</v>
      </c>
      <c r="V73" s="94">
        <v>22</v>
      </c>
      <c r="W73" s="69">
        <v>23</v>
      </c>
      <c r="X73" s="69">
        <v>24</v>
      </c>
      <c r="Y73" s="94">
        <v>25</v>
      </c>
      <c r="Z73" s="69">
        <v>26</v>
      </c>
      <c r="AA73" s="69">
        <v>27</v>
      </c>
      <c r="AB73" s="69">
        <v>28</v>
      </c>
      <c r="AC73" s="94">
        <v>29</v>
      </c>
      <c r="AD73" s="69">
        <v>30</v>
      </c>
      <c r="AE73" s="69">
        <v>31</v>
      </c>
      <c r="AF73" s="92">
        <v>32</v>
      </c>
    </row>
    <row r="74" spans="1:32" ht="47.25" thickBot="1">
      <c r="A74" s="165" t="s">
        <v>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7"/>
    </row>
    <row r="75" spans="1:32" ht="47.25" thickBot="1">
      <c r="A75" s="46">
        <v>23</v>
      </c>
      <c r="B75" s="48" t="s">
        <v>60</v>
      </c>
      <c r="C75" s="46"/>
      <c r="D75" s="57"/>
      <c r="E75" s="57"/>
      <c r="F75" s="57"/>
      <c r="G75" s="57">
        <v>25</v>
      </c>
      <c r="H75" s="51"/>
      <c r="I75" s="51"/>
      <c r="J75" s="51"/>
      <c r="K75" s="51"/>
      <c r="L75" s="51"/>
      <c r="M75" s="51"/>
      <c r="N75" s="51"/>
      <c r="O75" s="52"/>
      <c r="P75" s="46">
        <v>5</v>
      </c>
      <c r="Q75" s="52">
        <v>3</v>
      </c>
      <c r="R75" s="46"/>
      <c r="S75" s="52"/>
      <c r="T75" s="46">
        <v>150</v>
      </c>
      <c r="U75" s="52"/>
      <c r="V75" s="46"/>
      <c r="W75" s="46"/>
      <c r="X75" s="46"/>
      <c r="Y75" s="52"/>
      <c r="Z75" s="46"/>
      <c r="AA75" s="46"/>
      <c r="AB75" s="46"/>
      <c r="AC75" s="52"/>
      <c r="AD75" s="46"/>
      <c r="AE75" s="52"/>
      <c r="AF75" s="46"/>
    </row>
    <row r="76" spans="1:32" ht="47.25" thickBot="1">
      <c r="A76" s="44">
        <v>2</v>
      </c>
      <c r="B76" s="45" t="s">
        <v>189</v>
      </c>
      <c r="C76" s="46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44"/>
      <c r="P76" s="46">
        <v>12</v>
      </c>
      <c r="Q76" s="44"/>
      <c r="R76" s="52"/>
      <c r="S76" s="44"/>
      <c r="T76" s="46">
        <v>84</v>
      </c>
      <c r="U76" s="44"/>
      <c r="V76" s="52"/>
      <c r="W76" s="44"/>
      <c r="X76" s="52"/>
      <c r="Y76" s="44"/>
      <c r="Z76" s="52"/>
      <c r="AA76" s="44"/>
      <c r="AB76" s="52"/>
      <c r="AC76" s="44">
        <v>2.4</v>
      </c>
      <c r="AD76" s="44"/>
      <c r="AE76" s="44"/>
      <c r="AF76" s="46"/>
    </row>
    <row r="77" spans="1:32" ht="47.25" thickBot="1">
      <c r="A77" s="44">
        <v>3</v>
      </c>
      <c r="B77" s="45" t="s">
        <v>58</v>
      </c>
      <c r="C77" s="51">
        <v>30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44"/>
      <c r="P77" s="52"/>
      <c r="Q77" s="46">
        <v>5</v>
      </c>
      <c r="R77" s="52"/>
      <c r="S77" s="44"/>
      <c r="T77" s="52"/>
      <c r="U77" s="66"/>
      <c r="V77" s="44"/>
      <c r="W77" s="46"/>
      <c r="X77" s="52"/>
      <c r="Y77" s="44"/>
      <c r="Z77" s="52"/>
      <c r="AA77" s="44">
        <v>14.9</v>
      </c>
      <c r="AB77" s="52"/>
      <c r="AC77" s="44"/>
      <c r="AD77" s="51"/>
      <c r="AE77" s="44"/>
      <c r="AF77" s="51"/>
    </row>
    <row r="78" spans="1:32" ht="47.25" thickBot="1">
      <c r="A78" s="44"/>
      <c r="B78" s="45" t="s">
        <v>8</v>
      </c>
      <c r="C78" s="46">
        <f>SUM(C75+C76+C77)</f>
        <v>30</v>
      </c>
      <c r="D78" s="46">
        <f aca="true" t="shared" si="14" ref="D78:AF78">SUM(D75+D76+D77)</f>
        <v>0</v>
      </c>
      <c r="E78" s="46">
        <f t="shared" si="14"/>
        <v>0</v>
      </c>
      <c r="F78" s="46">
        <f t="shared" si="14"/>
        <v>0</v>
      </c>
      <c r="G78" s="46">
        <f t="shared" si="14"/>
        <v>25</v>
      </c>
      <c r="H78" s="46">
        <f t="shared" si="14"/>
        <v>0</v>
      </c>
      <c r="I78" s="46">
        <f t="shared" si="14"/>
        <v>0</v>
      </c>
      <c r="J78" s="46">
        <f t="shared" si="14"/>
        <v>0</v>
      </c>
      <c r="K78" s="46">
        <f t="shared" si="14"/>
        <v>0</v>
      </c>
      <c r="L78" s="46">
        <f t="shared" si="14"/>
        <v>0</v>
      </c>
      <c r="M78" s="46">
        <f t="shared" si="14"/>
        <v>0</v>
      </c>
      <c r="N78" s="46">
        <f t="shared" si="14"/>
        <v>0</v>
      </c>
      <c r="O78" s="46">
        <f t="shared" si="14"/>
        <v>0</v>
      </c>
      <c r="P78" s="46">
        <f t="shared" si="14"/>
        <v>17</v>
      </c>
      <c r="Q78" s="46">
        <f t="shared" si="14"/>
        <v>8</v>
      </c>
      <c r="R78" s="46">
        <f t="shared" si="14"/>
        <v>0</v>
      </c>
      <c r="S78" s="46">
        <f t="shared" si="14"/>
        <v>0</v>
      </c>
      <c r="T78" s="46">
        <f t="shared" si="14"/>
        <v>234</v>
      </c>
      <c r="U78" s="46">
        <f t="shared" si="14"/>
        <v>0</v>
      </c>
      <c r="V78" s="46">
        <f t="shared" si="14"/>
        <v>0</v>
      </c>
      <c r="W78" s="46">
        <f t="shared" si="14"/>
        <v>0</v>
      </c>
      <c r="X78" s="46">
        <f t="shared" si="14"/>
        <v>0</v>
      </c>
      <c r="Y78" s="46">
        <f t="shared" si="14"/>
        <v>0</v>
      </c>
      <c r="Z78" s="46">
        <f t="shared" si="14"/>
        <v>0</v>
      </c>
      <c r="AA78" s="46">
        <f t="shared" si="14"/>
        <v>14.9</v>
      </c>
      <c r="AB78" s="67">
        <f t="shared" si="14"/>
        <v>0</v>
      </c>
      <c r="AC78" s="46">
        <f t="shared" si="14"/>
        <v>2.4</v>
      </c>
      <c r="AD78" s="57">
        <f t="shared" si="14"/>
        <v>0</v>
      </c>
      <c r="AE78" s="46">
        <f t="shared" si="14"/>
        <v>0</v>
      </c>
      <c r="AF78" s="46">
        <f t="shared" si="14"/>
        <v>0</v>
      </c>
    </row>
    <row r="79" spans="1:32" ht="47.25" thickBot="1">
      <c r="A79" s="156" t="s">
        <v>107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57"/>
    </row>
    <row r="80" spans="1:32" ht="47.25" thickBot="1">
      <c r="A80" s="44" t="s">
        <v>45</v>
      </c>
      <c r="B80" s="48" t="s">
        <v>108</v>
      </c>
      <c r="C80" s="46"/>
      <c r="D80" s="51"/>
      <c r="E80" s="51"/>
      <c r="F80" s="51"/>
      <c r="G80" s="51"/>
      <c r="H80" s="51"/>
      <c r="I80" s="51"/>
      <c r="J80" s="51"/>
      <c r="K80" s="51">
        <v>90</v>
      </c>
      <c r="L80" s="51"/>
      <c r="M80" s="51"/>
      <c r="N80" s="51"/>
      <c r="O80" s="52"/>
      <c r="P80" s="46"/>
      <c r="Q80" s="52"/>
      <c r="R80" s="46"/>
      <c r="S80" s="52"/>
      <c r="T80" s="46"/>
      <c r="U80" s="52"/>
      <c r="V80" s="46"/>
      <c r="W80" s="46"/>
      <c r="X80" s="52"/>
      <c r="Y80" s="46"/>
      <c r="Z80" s="46"/>
      <c r="AA80" s="52"/>
      <c r="AB80" s="46"/>
      <c r="AC80" s="52"/>
      <c r="AD80" s="46"/>
      <c r="AE80" s="46"/>
      <c r="AF80" s="51"/>
    </row>
    <row r="81" spans="1:32" ht="47.25" thickBot="1">
      <c r="A81" s="44" t="s">
        <v>45</v>
      </c>
      <c r="B81" s="45" t="s">
        <v>41</v>
      </c>
      <c r="C81" s="46"/>
      <c r="D81" s="51"/>
      <c r="E81" s="51"/>
      <c r="F81" s="51"/>
      <c r="G81" s="51"/>
      <c r="H81" s="51"/>
      <c r="I81" s="51"/>
      <c r="J81" s="51"/>
      <c r="K81" s="51"/>
      <c r="L81" s="51"/>
      <c r="M81" s="51">
        <v>110</v>
      </c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7"/>
    </row>
    <row r="82" spans="1:32" ht="47.25" thickBot="1">
      <c r="A82" s="44"/>
      <c r="B82" s="45" t="s">
        <v>37</v>
      </c>
      <c r="C82" s="46">
        <f>SUM(C80:C81)</f>
        <v>0</v>
      </c>
      <c r="D82" s="46">
        <f aca="true" t="shared" si="15" ref="D82:O82">SUM(D80:D81)</f>
        <v>0</v>
      </c>
      <c r="E82" s="46">
        <f t="shared" si="15"/>
        <v>0</v>
      </c>
      <c r="F82" s="46">
        <f t="shared" si="15"/>
        <v>0</v>
      </c>
      <c r="G82" s="46">
        <f t="shared" si="15"/>
        <v>0</v>
      </c>
      <c r="H82" s="46">
        <f t="shared" si="15"/>
        <v>0</v>
      </c>
      <c r="I82" s="46">
        <f t="shared" si="15"/>
        <v>0</v>
      </c>
      <c r="J82" s="46">
        <f t="shared" si="15"/>
        <v>0</v>
      </c>
      <c r="K82" s="46">
        <f t="shared" si="15"/>
        <v>90</v>
      </c>
      <c r="L82" s="46">
        <f t="shared" si="15"/>
        <v>0</v>
      </c>
      <c r="M82" s="46">
        <f t="shared" si="15"/>
        <v>110</v>
      </c>
      <c r="N82" s="46">
        <f t="shared" si="15"/>
        <v>0</v>
      </c>
      <c r="O82" s="46">
        <f t="shared" si="15"/>
        <v>0</v>
      </c>
      <c r="P82" s="46">
        <f aca="true" t="shared" si="16" ref="P82:AF82">SUM(P80)</f>
        <v>0</v>
      </c>
      <c r="Q82" s="46">
        <f t="shared" si="16"/>
        <v>0</v>
      </c>
      <c r="R82" s="46">
        <f t="shared" si="16"/>
        <v>0</v>
      </c>
      <c r="S82" s="46">
        <f t="shared" si="16"/>
        <v>0</v>
      </c>
      <c r="T82" s="46">
        <f t="shared" si="16"/>
        <v>0</v>
      </c>
      <c r="U82" s="46">
        <f t="shared" si="16"/>
        <v>0</v>
      </c>
      <c r="V82" s="46">
        <f t="shared" si="16"/>
        <v>0</v>
      </c>
      <c r="W82" s="46">
        <f t="shared" si="16"/>
        <v>0</v>
      </c>
      <c r="X82" s="46">
        <f t="shared" si="16"/>
        <v>0</v>
      </c>
      <c r="Y82" s="46">
        <f t="shared" si="16"/>
        <v>0</v>
      </c>
      <c r="Z82" s="46">
        <f t="shared" si="16"/>
        <v>0</v>
      </c>
      <c r="AA82" s="46">
        <f t="shared" si="16"/>
        <v>0</v>
      </c>
      <c r="AB82" s="46">
        <f t="shared" si="16"/>
        <v>0</v>
      </c>
      <c r="AC82" s="46">
        <f t="shared" si="16"/>
        <v>0</v>
      </c>
      <c r="AD82" s="46">
        <f t="shared" si="16"/>
        <v>0</v>
      </c>
      <c r="AE82" s="46">
        <f t="shared" si="16"/>
        <v>0</v>
      </c>
      <c r="AF82" s="46">
        <f t="shared" si="16"/>
        <v>0</v>
      </c>
    </row>
    <row r="83" spans="1:32" ht="47.25" thickBot="1">
      <c r="A83" s="156" t="s">
        <v>40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57"/>
    </row>
    <row r="84" spans="1:32" ht="93.75" thickBot="1">
      <c r="A84" s="44">
        <v>24</v>
      </c>
      <c r="B84" s="45" t="s">
        <v>142</v>
      </c>
      <c r="C84" s="46"/>
      <c r="D84" s="51"/>
      <c r="E84" s="51"/>
      <c r="F84" s="51"/>
      <c r="G84" s="51"/>
      <c r="H84" s="51"/>
      <c r="I84" s="51"/>
      <c r="J84" s="51">
        <v>56</v>
      </c>
      <c r="K84" s="51"/>
      <c r="L84" s="51"/>
      <c r="M84" s="51"/>
      <c r="N84" s="51"/>
      <c r="O84" s="44"/>
      <c r="P84" s="52"/>
      <c r="Q84" s="44"/>
      <c r="R84" s="52">
        <v>5</v>
      </c>
      <c r="S84" s="44"/>
      <c r="T84" s="52"/>
      <c r="U84" s="44"/>
      <c r="V84" s="52"/>
      <c r="W84" s="46"/>
      <c r="X84" s="52"/>
      <c r="Y84" s="44"/>
      <c r="Z84" s="52"/>
      <c r="AA84" s="44"/>
      <c r="AB84" s="46"/>
      <c r="AC84" s="52"/>
      <c r="AD84" s="44"/>
      <c r="AE84" s="44"/>
      <c r="AF84" s="51"/>
    </row>
    <row r="85" spans="1:32" ht="93.75" thickBot="1">
      <c r="A85" s="44">
        <v>34</v>
      </c>
      <c r="B85" s="45" t="s">
        <v>56</v>
      </c>
      <c r="C85" s="46"/>
      <c r="D85" s="51"/>
      <c r="E85" s="51"/>
      <c r="F85" s="51"/>
      <c r="G85" s="51"/>
      <c r="H85" s="51"/>
      <c r="I85" s="51">
        <v>30</v>
      </c>
      <c r="J85" s="51">
        <v>81</v>
      </c>
      <c r="K85" s="51"/>
      <c r="L85" s="51"/>
      <c r="M85" s="51"/>
      <c r="N85" s="51"/>
      <c r="O85" s="52"/>
      <c r="P85" s="44"/>
      <c r="Q85" s="52">
        <v>4</v>
      </c>
      <c r="R85" s="44"/>
      <c r="S85" s="52"/>
      <c r="T85" s="44"/>
      <c r="U85" s="44"/>
      <c r="V85" s="52"/>
      <c r="W85" s="44">
        <v>16</v>
      </c>
      <c r="X85" s="52"/>
      <c r="Y85" s="46"/>
      <c r="Z85" s="46">
        <v>7</v>
      </c>
      <c r="AA85" s="52"/>
      <c r="AB85" s="44"/>
      <c r="AC85" s="52"/>
      <c r="AD85" s="44"/>
      <c r="AE85" s="44"/>
      <c r="AF85" s="51"/>
    </row>
    <row r="86" spans="1:32" ht="47.25" thickBot="1">
      <c r="A86" s="46">
        <v>40</v>
      </c>
      <c r="B86" s="45" t="s">
        <v>190</v>
      </c>
      <c r="C86" s="44"/>
      <c r="D86" s="51"/>
      <c r="E86" s="51">
        <v>0.6</v>
      </c>
      <c r="F86" s="51"/>
      <c r="G86" s="51"/>
      <c r="H86" s="51"/>
      <c r="I86" s="51"/>
      <c r="J86" s="51">
        <v>44</v>
      </c>
      <c r="K86" s="51"/>
      <c r="L86" s="51"/>
      <c r="M86" s="51"/>
      <c r="N86" s="51"/>
      <c r="O86" s="51"/>
      <c r="P86" s="51"/>
      <c r="Q86" s="51">
        <v>0.6</v>
      </c>
      <c r="R86" s="51">
        <v>7</v>
      </c>
      <c r="S86" s="51"/>
      <c r="T86" s="51"/>
      <c r="U86" s="51"/>
      <c r="V86" s="51"/>
      <c r="W86" s="51"/>
      <c r="X86" s="51"/>
      <c r="Y86" s="51">
        <v>96</v>
      </c>
      <c r="Z86" s="51">
        <v>10</v>
      </c>
      <c r="AA86" s="51"/>
      <c r="AB86" s="51"/>
      <c r="AC86" s="51"/>
      <c r="AD86" s="51"/>
      <c r="AE86" s="51"/>
      <c r="AF86" s="51"/>
    </row>
    <row r="87" spans="1:32" ht="47.25" thickBot="1">
      <c r="A87" s="46">
        <v>59</v>
      </c>
      <c r="B87" s="45" t="s">
        <v>186</v>
      </c>
      <c r="C87" s="44"/>
      <c r="D87" s="51"/>
      <c r="E87" s="51"/>
      <c r="F87" s="51"/>
      <c r="G87" s="51">
        <v>54</v>
      </c>
      <c r="H87" s="51"/>
      <c r="I87" s="51"/>
      <c r="J87" s="51">
        <v>51</v>
      </c>
      <c r="K87" s="51"/>
      <c r="L87" s="51"/>
      <c r="M87" s="51"/>
      <c r="N87" s="51"/>
      <c r="O87" s="51"/>
      <c r="P87" s="51"/>
      <c r="Q87" s="51">
        <v>8.5</v>
      </c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 ht="47.25" thickBot="1">
      <c r="A88" s="44">
        <v>87</v>
      </c>
      <c r="B88" s="45" t="s">
        <v>185</v>
      </c>
      <c r="C88" s="46"/>
      <c r="D88" s="51"/>
      <c r="E88" s="51"/>
      <c r="F88" s="51"/>
      <c r="G88" s="51"/>
      <c r="H88" s="51"/>
      <c r="I88" s="51"/>
      <c r="J88" s="51"/>
      <c r="K88" s="51"/>
      <c r="L88" s="51">
        <v>225</v>
      </c>
      <c r="M88" s="51"/>
      <c r="N88" s="51"/>
      <c r="O88" s="52"/>
      <c r="P88" s="44"/>
      <c r="Q88" s="52"/>
      <c r="R88" s="44"/>
      <c r="S88" s="52"/>
      <c r="T88" s="44"/>
      <c r="U88" s="44"/>
      <c r="V88" s="52"/>
      <c r="W88" s="44"/>
      <c r="X88" s="52"/>
      <c r="Y88" s="44"/>
      <c r="Z88" s="44"/>
      <c r="AA88" s="52"/>
      <c r="AB88" s="44"/>
      <c r="AC88" s="52"/>
      <c r="AD88" s="44"/>
      <c r="AE88" s="44"/>
      <c r="AF88" s="51"/>
    </row>
    <row r="89" spans="1:32" ht="47.25" thickBot="1">
      <c r="A89" s="44" t="s">
        <v>45</v>
      </c>
      <c r="B89" s="45" t="s">
        <v>114</v>
      </c>
      <c r="C89" s="51">
        <v>35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44"/>
      <c r="P89" s="52"/>
      <c r="Q89" s="44"/>
      <c r="R89" s="52"/>
      <c r="S89" s="44"/>
      <c r="T89" s="52"/>
      <c r="U89" s="44"/>
      <c r="V89" s="52"/>
      <c r="W89" s="44"/>
      <c r="X89" s="46"/>
      <c r="Y89" s="44"/>
      <c r="Z89" s="52"/>
      <c r="AA89" s="44"/>
      <c r="AB89" s="44"/>
      <c r="AC89" s="52"/>
      <c r="AD89" s="44"/>
      <c r="AE89" s="44"/>
      <c r="AF89" s="51"/>
    </row>
    <row r="90" spans="1:32" ht="47.25" thickBot="1">
      <c r="A90" s="44" t="s">
        <v>45</v>
      </c>
      <c r="B90" s="45" t="s">
        <v>144</v>
      </c>
      <c r="C90" s="46"/>
      <c r="D90" s="51">
        <v>45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44"/>
      <c r="P90" s="52"/>
      <c r="Q90" s="44"/>
      <c r="R90" s="52"/>
      <c r="S90" s="44"/>
      <c r="T90" s="52"/>
      <c r="U90" s="44"/>
      <c r="V90" s="52"/>
      <c r="W90" s="44"/>
      <c r="X90" s="44"/>
      <c r="Y90" s="44"/>
      <c r="Z90" s="52"/>
      <c r="AA90" s="44"/>
      <c r="AB90" s="44"/>
      <c r="AC90" s="52"/>
      <c r="AD90" s="44"/>
      <c r="AE90" s="44"/>
      <c r="AF90" s="51"/>
    </row>
    <row r="91" spans="1:32" ht="47.25" thickBot="1">
      <c r="A91" s="44"/>
      <c r="B91" s="45" t="s">
        <v>8</v>
      </c>
      <c r="C91" s="51">
        <f>SUM(C84:C90)</f>
        <v>35</v>
      </c>
      <c r="D91" s="51">
        <f aca="true" t="shared" si="17" ref="D91:X91">SUM(D84:D90)</f>
        <v>45</v>
      </c>
      <c r="E91" s="51">
        <f t="shared" si="17"/>
        <v>0.6</v>
      </c>
      <c r="F91" s="51">
        <f t="shared" si="17"/>
        <v>0</v>
      </c>
      <c r="G91" s="51">
        <f t="shared" si="17"/>
        <v>54</v>
      </c>
      <c r="H91" s="51">
        <f t="shared" si="17"/>
        <v>0</v>
      </c>
      <c r="I91" s="51">
        <f t="shared" si="17"/>
        <v>30</v>
      </c>
      <c r="J91" s="51">
        <f t="shared" si="17"/>
        <v>232</v>
      </c>
      <c r="K91" s="51">
        <f t="shared" si="17"/>
        <v>0</v>
      </c>
      <c r="L91" s="51">
        <f t="shared" si="17"/>
        <v>225</v>
      </c>
      <c r="M91" s="51">
        <f t="shared" si="17"/>
        <v>0</v>
      </c>
      <c r="N91" s="51">
        <f t="shared" si="17"/>
        <v>0</v>
      </c>
      <c r="O91" s="51">
        <f t="shared" si="17"/>
        <v>0</v>
      </c>
      <c r="P91" s="51">
        <f t="shared" si="17"/>
        <v>0</v>
      </c>
      <c r="Q91" s="51">
        <f t="shared" si="17"/>
        <v>13.1</v>
      </c>
      <c r="R91" s="51">
        <f t="shared" si="17"/>
        <v>12</v>
      </c>
      <c r="S91" s="51">
        <f t="shared" si="17"/>
        <v>0</v>
      </c>
      <c r="T91" s="51">
        <f t="shared" si="17"/>
        <v>0</v>
      </c>
      <c r="U91" s="51">
        <f t="shared" si="17"/>
        <v>0</v>
      </c>
      <c r="V91" s="51">
        <f t="shared" si="17"/>
        <v>0</v>
      </c>
      <c r="W91" s="51">
        <f t="shared" si="17"/>
        <v>16</v>
      </c>
      <c r="X91" s="51">
        <f t="shared" si="17"/>
        <v>0</v>
      </c>
      <c r="Y91" s="51">
        <f aca="true" t="shared" si="18" ref="Y91:AF91">SUM(Y84:Y90)</f>
        <v>96</v>
      </c>
      <c r="Z91" s="51">
        <f t="shared" si="18"/>
        <v>17</v>
      </c>
      <c r="AA91" s="51">
        <f t="shared" si="18"/>
        <v>0</v>
      </c>
      <c r="AB91" s="51">
        <f t="shared" si="18"/>
        <v>0</v>
      </c>
      <c r="AC91" s="51">
        <f t="shared" si="18"/>
        <v>0</v>
      </c>
      <c r="AD91" s="51">
        <f t="shared" si="18"/>
        <v>0</v>
      </c>
      <c r="AE91" s="51">
        <f t="shared" si="18"/>
        <v>0</v>
      </c>
      <c r="AF91" s="51">
        <f t="shared" si="18"/>
        <v>0</v>
      </c>
    </row>
    <row r="92" spans="1:32" ht="46.5" customHeight="1" thickBot="1">
      <c r="A92" s="156" t="s">
        <v>207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57"/>
    </row>
    <row r="93" spans="1:32" ht="47.25" thickBot="1">
      <c r="A93" s="44">
        <v>67</v>
      </c>
      <c r="B93" s="45" t="s">
        <v>62</v>
      </c>
      <c r="C93" s="44"/>
      <c r="D93" s="51"/>
      <c r="E93" s="51"/>
      <c r="F93" s="51"/>
      <c r="G93" s="51">
        <v>6</v>
      </c>
      <c r="H93" s="51"/>
      <c r="I93" s="57">
        <v>75</v>
      </c>
      <c r="J93" s="57">
        <v>20</v>
      </c>
      <c r="K93" s="57"/>
      <c r="L93" s="57"/>
      <c r="M93" s="57"/>
      <c r="N93" s="57"/>
      <c r="O93" s="57"/>
      <c r="P93" s="57"/>
      <c r="Q93" s="57">
        <v>4</v>
      </c>
      <c r="R93" s="57"/>
      <c r="S93" s="57"/>
      <c r="T93" s="57"/>
      <c r="U93" s="57"/>
      <c r="V93" s="57"/>
      <c r="W93" s="57"/>
      <c r="X93" s="57"/>
      <c r="Y93" s="57">
        <v>40</v>
      </c>
      <c r="Z93" s="57"/>
      <c r="AA93" s="57"/>
      <c r="AB93" s="57"/>
      <c r="AC93" s="57"/>
      <c r="AD93" s="57"/>
      <c r="AE93" s="57"/>
      <c r="AF93" s="51"/>
    </row>
    <row r="94" spans="1:32" ht="47.25" thickBot="1">
      <c r="A94" s="46">
        <v>13</v>
      </c>
      <c r="B94" s="50" t="s">
        <v>9</v>
      </c>
      <c r="C94" s="46"/>
      <c r="D94" s="57"/>
      <c r="E94" s="57"/>
      <c r="F94" s="57"/>
      <c r="G94" s="57"/>
      <c r="H94" s="51"/>
      <c r="I94" s="51"/>
      <c r="J94" s="51"/>
      <c r="K94" s="51"/>
      <c r="L94" s="51"/>
      <c r="M94" s="51"/>
      <c r="N94" s="51"/>
      <c r="O94" s="52"/>
      <c r="P94" s="46">
        <v>12</v>
      </c>
      <c r="Q94" s="52"/>
      <c r="R94" s="46"/>
      <c r="S94" s="52"/>
      <c r="T94" s="46"/>
      <c r="U94" s="46"/>
      <c r="V94" s="52"/>
      <c r="W94" s="46"/>
      <c r="X94" s="52"/>
      <c r="Y94" s="46"/>
      <c r="Z94" s="46"/>
      <c r="AA94" s="52"/>
      <c r="AB94" s="46">
        <v>0.6</v>
      </c>
      <c r="AC94" s="46"/>
      <c r="AD94" s="52"/>
      <c r="AE94" s="46"/>
      <c r="AF94" s="51"/>
    </row>
    <row r="95" spans="1:32" ht="47.25" thickBot="1">
      <c r="A95" s="44" t="s">
        <v>45</v>
      </c>
      <c r="B95" s="45" t="s">
        <v>114</v>
      </c>
      <c r="C95" s="51">
        <v>30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1:32" ht="47.25" thickBot="1">
      <c r="A96" s="44">
        <v>21</v>
      </c>
      <c r="B96" s="73" t="s">
        <v>38</v>
      </c>
      <c r="C96" s="44"/>
      <c r="D96" s="51"/>
      <c r="E96" s="44"/>
      <c r="F96" s="44"/>
      <c r="G96" s="44"/>
      <c r="H96" s="51"/>
      <c r="I96" s="51"/>
      <c r="J96" s="51"/>
      <c r="K96" s="51"/>
      <c r="L96" s="51"/>
      <c r="M96" s="51"/>
      <c r="N96" s="51"/>
      <c r="O96" s="52"/>
      <c r="P96" s="46"/>
      <c r="Q96" s="52"/>
      <c r="R96" s="46"/>
      <c r="S96" s="52"/>
      <c r="T96" s="46">
        <v>154</v>
      </c>
      <c r="U96" s="52"/>
      <c r="V96" s="46"/>
      <c r="W96" s="46"/>
      <c r="X96" s="52"/>
      <c r="Y96" s="46"/>
      <c r="Z96" s="46"/>
      <c r="AA96" s="52"/>
      <c r="AB96" s="46"/>
      <c r="AC96" s="46"/>
      <c r="AD96" s="52"/>
      <c r="AE96" s="46"/>
      <c r="AF96" s="51"/>
    </row>
    <row r="97" spans="1:32" ht="47.25" thickBot="1">
      <c r="A97" s="49">
        <v>77</v>
      </c>
      <c r="B97" s="50" t="s">
        <v>73</v>
      </c>
      <c r="C97" s="46"/>
      <c r="D97" s="57"/>
      <c r="E97" s="57"/>
      <c r="F97" s="57"/>
      <c r="G97" s="57">
        <v>20.4</v>
      </c>
      <c r="H97" s="51"/>
      <c r="I97" s="51"/>
      <c r="J97" s="51"/>
      <c r="K97" s="51"/>
      <c r="L97" s="51"/>
      <c r="M97" s="51"/>
      <c r="N97" s="51"/>
      <c r="O97" s="51"/>
      <c r="P97" s="51">
        <v>4</v>
      </c>
      <c r="Q97" s="51">
        <v>2</v>
      </c>
      <c r="R97" s="51">
        <v>1.2</v>
      </c>
      <c r="S97" s="51">
        <v>6</v>
      </c>
      <c r="T97" s="51">
        <v>30</v>
      </c>
      <c r="U97" s="51"/>
      <c r="V97" s="51"/>
      <c r="W97" s="51"/>
      <c r="X97" s="51"/>
      <c r="Y97" s="51"/>
      <c r="Z97" s="51">
        <v>18</v>
      </c>
      <c r="AA97" s="51"/>
      <c r="AB97" s="51"/>
      <c r="AC97" s="44"/>
      <c r="AD97" s="51"/>
      <c r="AE97" s="51"/>
      <c r="AF97" s="46"/>
    </row>
    <row r="98" spans="1:32" ht="47.25" thickBot="1">
      <c r="A98" s="44"/>
      <c r="B98" s="45" t="s">
        <v>8</v>
      </c>
      <c r="C98" s="46">
        <f>SUM(C93:C97)</f>
        <v>30</v>
      </c>
      <c r="D98" s="46">
        <f aca="true" t="shared" si="19" ref="D98:AF98">SUM(D93:D97)</f>
        <v>0</v>
      </c>
      <c r="E98" s="46">
        <f t="shared" si="19"/>
        <v>0</v>
      </c>
      <c r="F98" s="46">
        <f t="shared" si="19"/>
        <v>0</v>
      </c>
      <c r="G98" s="46">
        <f t="shared" si="19"/>
        <v>26.4</v>
      </c>
      <c r="H98" s="46">
        <f t="shared" si="19"/>
        <v>0</v>
      </c>
      <c r="I98" s="46">
        <f t="shared" si="19"/>
        <v>75</v>
      </c>
      <c r="J98" s="46">
        <f t="shared" si="19"/>
        <v>20</v>
      </c>
      <c r="K98" s="46">
        <f t="shared" si="19"/>
        <v>0</v>
      </c>
      <c r="L98" s="46">
        <f t="shared" si="19"/>
        <v>0</v>
      </c>
      <c r="M98" s="46">
        <f t="shared" si="19"/>
        <v>0</v>
      </c>
      <c r="N98" s="46">
        <f t="shared" si="19"/>
        <v>0</v>
      </c>
      <c r="O98" s="46">
        <f t="shared" si="19"/>
        <v>0</v>
      </c>
      <c r="P98" s="46">
        <f t="shared" si="19"/>
        <v>16</v>
      </c>
      <c r="Q98" s="46">
        <f t="shared" si="19"/>
        <v>6</v>
      </c>
      <c r="R98" s="46">
        <f t="shared" si="19"/>
        <v>1.2</v>
      </c>
      <c r="S98" s="46">
        <f t="shared" si="19"/>
        <v>6</v>
      </c>
      <c r="T98" s="46">
        <f t="shared" si="19"/>
        <v>184</v>
      </c>
      <c r="U98" s="46">
        <f t="shared" si="19"/>
        <v>0</v>
      </c>
      <c r="V98" s="46">
        <f t="shared" si="19"/>
        <v>0</v>
      </c>
      <c r="W98" s="46">
        <f t="shared" si="19"/>
        <v>0</v>
      </c>
      <c r="X98" s="46">
        <f t="shared" si="19"/>
        <v>0</v>
      </c>
      <c r="Y98" s="46">
        <f t="shared" si="19"/>
        <v>40</v>
      </c>
      <c r="Z98" s="46">
        <f t="shared" si="19"/>
        <v>18</v>
      </c>
      <c r="AA98" s="46">
        <f t="shared" si="19"/>
        <v>0</v>
      </c>
      <c r="AB98" s="46">
        <f t="shared" si="19"/>
        <v>0.6</v>
      </c>
      <c r="AC98" s="46">
        <f t="shared" si="19"/>
        <v>0</v>
      </c>
      <c r="AD98" s="46">
        <f t="shared" si="19"/>
        <v>0</v>
      </c>
      <c r="AE98" s="46">
        <f t="shared" si="19"/>
        <v>0</v>
      </c>
      <c r="AF98" s="46">
        <f t="shared" si="19"/>
        <v>0</v>
      </c>
    </row>
    <row r="99" spans="1:32" ht="93.75" thickBot="1">
      <c r="A99" s="95"/>
      <c r="B99" s="45" t="s">
        <v>145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>
        <v>6</v>
      </c>
      <c r="AF99" s="46"/>
    </row>
    <row r="100" spans="1:32" ht="47.25" thickBot="1">
      <c r="A100" s="44"/>
      <c r="B100" s="74" t="s">
        <v>12</v>
      </c>
      <c r="C100" s="46">
        <f aca="true" t="shared" si="20" ref="C100:AD100">SUM(C78+C82+C91+C98)</f>
        <v>95</v>
      </c>
      <c r="D100" s="46">
        <f t="shared" si="20"/>
        <v>45</v>
      </c>
      <c r="E100" s="46">
        <f t="shared" si="20"/>
        <v>0.6</v>
      </c>
      <c r="F100" s="46">
        <f t="shared" si="20"/>
        <v>0</v>
      </c>
      <c r="G100" s="46">
        <f t="shared" si="20"/>
        <v>105.4</v>
      </c>
      <c r="H100" s="46">
        <f t="shared" si="20"/>
        <v>0</v>
      </c>
      <c r="I100" s="46">
        <f t="shared" si="20"/>
        <v>105</v>
      </c>
      <c r="J100" s="46">
        <f t="shared" si="20"/>
        <v>252</v>
      </c>
      <c r="K100" s="46">
        <f t="shared" si="20"/>
        <v>90</v>
      </c>
      <c r="L100" s="46">
        <f t="shared" si="20"/>
        <v>225</v>
      </c>
      <c r="M100" s="46">
        <f t="shared" si="20"/>
        <v>110</v>
      </c>
      <c r="N100" s="46">
        <f t="shared" si="20"/>
        <v>0</v>
      </c>
      <c r="O100" s="46">
        <f t="shared" si="20"/>
        <v>0</v>
      </c>
      <c r="P100" s="46">
        <f t="shared" si="20"/>
        <v>33</v>
      </c>
      <c r="Q100" s="46">
        <f t="shared" si="20"/>
        <v>27.1</v>
      </c>
      <c r="R100" s="46">
        <f t="shared" si="20"/>
        <v>13.2</v>
      </c>
      <c r="S100" s="46">
        <f t="shared" si="20"/>
        <v>6</v>
      </c>
      <c r="T100" s="46">
        <f t="shared" si="20"/>
        <v>418</v>
      </c>
      <c r="U100" s="46">
        <f t="shared" si="20"/>
        <v>0</v>
      </c>
      <c r="V100" s="46">
        <f t="shared" si="20"/>
        <v>0</v>
      </c>
      <c r="W100" s="46">
        <f t="shared" si="20"/>
        <v>16</v>
      </c>
      <c r="X100" s="46">
        <f t="shared" si="20"/>
        <v>0</v>
      </c>
      <c r="Y100" s="46">
        <f t="shared" si="20"/>
        <v>136</v>
      </c>
      <c r="Z100" s="46">
        <f t="shared" si="20"/>
        <v>35</v>
      </c>
      <c r="AA100" s="46">
        <f t="shared" si="20"/>
        <v>14.9</v>
      </c>
      <c r="AB100" s="46">
        <f t="shared" si="20"/>
        <v>0.6</v>
      </c>
      <c r="AC100" s="46">
        <f t="shared" si="20"/>
        <v>2.4</v>
      </c>
      <c r="AD100" s="46">
        <f t="shared" si="20"/>
        <v>0</v>
      </c>
      <c r="AE100" s="46">
        <v>6</v>
      </c>
      <c r="AF100" s="46">
        <f>SUM(AF78+AF82+AF91+AF98)</f>
        <v>0</v>
      </c>
    </row>
    <row r="101" spans="1:32" ht="47.25" thickBot="1">
      <c r="A101" s="165" t="s">
        <v>65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7"/>
    </row>
    <row r="102" spans="1:32" ht="47.25" thickBot="1">
      <c r="A102" s="165" t="s">
        <v>17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7"/>
    </row>
    <row r="103" spans="1:32" ht="45.75" customHeight="1">
      <c r="A103" s="168" t="s">
        <v>39</v>
      </c>
      <c r="B103" s="170" t="s">
        <v>26</v>
      </c>
      <c r="C103" s="154" t="s">
        <v>114</v>
      </c>
      <c r="D103" s="154" t="s">
        <v>115</v>
      </c>
      <c r="E103" s="154" t="s">
        <v>116</v>
      </c>
      <c r="F103" s="154" t="s">
        <v>117</v>
      </c>
      <c r="G103" s="154" t="s">
        <v>109</v>
      </c>
      <c r="H103" s="154" t="s">
        <v>118</v>
      </c>
      <c r="I103" s="154" t="s">
        <v>246</v>
      </c>
      <c r="J103" s="154" t="s">
        <v>247</v>
      </c>
      <c r="K103" s="90"/>
      <c r="L103" s="90"/>
      <c r="M103" s="154" t="s">
        <v>217</v>
      </c>
      <c r="N103" s="154" t="s">
        <v>121</v>
      </c>
      <c r="O103" s="154" t="s">
        <v>81</v>
      </c>
      <c r="P103" s="154" t="s">
        <v>82</v>
      </c>
      <c r="Q103" s="154" t="s">
        <v>122</v>
      </c>
      <c r="R103" s="154" t="s">
        <v>83</v>
      </c>
      <c r="S103" s="154" t="s">
        <v>123</v>
      </c>
      <c r="T103" s="154" t="s">
        <v>126</v>
      </c>
      <c r="U103" s="154" t="s">
        <v>143</v>
      </c>
      <c r="V103" s="90"/>
      <c r="W103" s="154" t="s">
        <v>248</v>
      </c>
      <c r="X103" s="154" t="s">
        <v>249</v>
      </c>
      <c r="Y103" s="154" t="s">
        <v>250</v>
      </c>
      <c r="Z103" s="154" t="s">
        <v>84</v>
      </c>
      <c r="AA103" s="154" t="s">
        <v>85</v>
      </c>
      <c r="AB103" s="154" t="s">
        <v>89</v>
      </c>
      <c r="AC103" s="90"/>
      <c r="AD103" s="154" t="s">
        <v>124</v>
      </c>
      <c r="AE103" s="154" t="s">
        <v>86</v>
      </c>
      <c r="AF103" s="154" t="s">
        <v>125</v>
      </c>
    </row>
    <row r="104" spans="1:32" ht="397.5" customHeight="1" thickBot="1">
      <c r="A104" s="169"/>
      <c r="B104" s="171"/>
      <c r="C104" s="155"/>
      <c r="D104" s="155"/>
      <c r="E104" s="155"/>
      <c r="F104" s="155"/>
      <c r="G104" s="155"/>
      <c r="H104" s="155"/>
      <c r="I104" s="155"/>
      <c r="J104" s="155"/>
      <c r="K104" s="91" t="s">
        <v>119</v>
      </c>
      <c r="L104" s="91" t="s">
        <v>120</v>
      </c>
      <c r="M104" s="155"/>
      <c r="N104" s="155"/>
      <c r="O104" s="155"/>
      <c r="P104" s="155"/>
      <c r="Q104" s="155"/>
      <c r="R104" s="155"/>
      <c r="S104" s="155"/>
      <c r="T104" s="155"/>
      <c r="U104" s="155"/>
      <c r="V104" s="91" t="s">
        <v>111</v>
      </c>
      <c r="W104" s="155"/>
      <c r="X104" s="155"/>
      <c r="Y104" s="155"/>
      <c r="Z104" s="155"/>
      <c r="AA104" s="155"/>
      <c r="AB104" s="155"/>
      <c r="AC104" s="91" t="s">
        <v>110</v>
      </c>
      <c r="AD104" s="155"/>
      <c r="AE104" s="155"/>
      <c r="AF104" s="155"/>
    </row>
    <row r="105" spans="1:32" ht="47.25" thickBot="1">
      <c r="A105" s="95">
        <v>1</v>
      </c>
      <c r="B105" s="68">
        <v>2</v>
      </c>
      <c r="C105" s="69" t="s">
        <v>112</v>
      </c>
      <c r="D105" s="70">
        <v>4</v>
      </c>
      <c r="E105" s="69">
        <v>5</v>
      </c>
      <c r="F105" s="69">
        <v>6</v>
      </c>
      <c r="G105" s="69">
        <v>7</v>
      </c>
      <c r="H105" s="69">
        <v>8</v>
      </c>
      <c r="I105" s="69" t="s">
        <v>113</v>
      </c>
      <c r="J105" s="70">
        <v>10</v>
      </c>
      <c r="K105" s="69">
        <v>11</v>
      </c>
      <c r="L105" s="85">
        <v>12</v>
      </c>
      <c r="M105" s="69">
        <v>13</v>
      </c>
      <c r="N105" s="69">
        <v>14</v>
      </c>
      <c r="O105" s="69">
        <v>15</v>
      </c>
      <c r="P105" s="69">
        <v>16</v>
      </c>
      <c r="Q105" s="94">
        <v>17</v>
      </c>
      <c r="R105" s="69">
        <v>18</v>
      </c>
      <c r="S105" s="94">
        <v>19</v>
      </c>
      <c r="T105" s="69">
        <v>20</v>
      </c>
      <c r="U105" s="94">
        <v>21</v>
      </c>
      <c r="V105" s="94">
        <v>22</v>
      </c>
      <c r="W105" s="69">
        <v>23</v>
      </c>
      <c r="X105" s="69">
        <v>24</v>
      </c>
      <c r="Y105" s="94">
        <v>25</v>
      </c>
      <c r="Z105" s="69">
        <v>26</v>
      </c>
      <c r="AA105" s="69">
        <v>27</v>
      </c>
      <c r="AB105" s="69">
        <v>28</v>
      </c>
      <c r="AC105" s="94">
        <v>29</v>
      </c>
      <c r="AD105" s="69">
        <v>30</v>
      </c>
      <c r="AE105" s="69">
        <v>31</v>
      </c>
      <c r="AF105" s="92">
        <v>32</v>
      </c>
    </row>
    <row r="106" spans="1:32" ht="47.25" thickBot="1">
      <c r="A106" s="165" t="s">
        <v>7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7"/>
    </row>
    <row r="107" spans="1:32" ht="47.25" thickBot="1">
      <c r="A107" s="44">
        <v>32</v>
      </c>
      <c r="B107" s="71" t="s">
        <v>52</v>
      </c>
      <c r="C107" s="46"/>
      <c r="D107" s="57"/>
      <c r="E107" s="57"/>
      <c r="F107" s="57"/>
      <c r="G107" s="57">
        <v>20</v>
      </c>
      <c r="H107" s="51"/>
      <c r="I107" s="51"/>
      <c r="J107" s="51"/>
      <c r="K107" s="51"/>
      <c r="L107" s="51"/>
      <c r="M107" s="51"/>
      <c r="N107" s="51"/>
      <c r="O107" s="52"/>
      <c r="P107" s="46">
        <v>5</v>
      </c>
      <c r="Q107" s="52">
        <v>3</v>
      </c>
      <c r="R107" s="46"/>
      <c r="S107" s="52"/>
      <c r="T107" s="46">
        <v>150</v>
      </c>
      <c r="U107" s="52"/>
      <c r="V107" s="46"/>
      <c r="W107" s="46"/>
      <c r="X107" s="46"/>
      <c r="Y107" s="52"/>
      <c r="Z107" s="46"/>
      <c r="AA107" s="46"/>
      <c r="AB107" s="46"/>
      <c r="AC107" s="52"/>
      <c r="AD107" s="46"/>
      <c r="AE107" s="52"/>
      <c r="AF107" s="46"/>
    </row>
    <row r="108" spans="1:32" ht="47.25" thickBot="1">
      <c r="A108" s="44">
        <v>102</v>
      </c>
      <c r="B108" s="45" t="s">
        <v>236</v>
      </c>
      <c r="C108" s="46"/>
      <c r="D108" s="57"/>
      <c r="E108" s="57"/>
      <c r="F108" s="57"/>
      <c r="G108" s="57"/>
      <c r="H108" s="51"/>
      <c r="I108" s="51"/>
      <c r="J108" s="51"/>
      <c r="K108" s="51"/>
      <c r="L108" s="51"/>
      <c r="M108" s="51"/>
      <c r="N108" s="51"/>
      <c r="O108" s="52"/>
      <c r="P108" s="46">
        <v>2.4</v>
      </c>
      <c r="Q108" s="52"/>
      <c r="R108" s="46"/>
      <c r="S108" s="52"/>
      <c r="T108" s="46">
        <v>35</v>
      </c>
      <c r="U108" s="52"/>
      <c r="V108" s="44"/>
      <c r="W108" s="46"/>
      <c r="X108" s="44"/>
      <c r="Y108" s="52"/>
      <c r="Z108" s="46"/>
      <c r="AA108" s="46"/>
      <c r="AB108" s="52"/>
      <c r="AC108" s="44"/>
      <c r="AD108" s="46">
        <v>1.2</v>
      </c>
      <c r="AE108" s="52"/>
      <c r="AF108" s="46"/>
    </row>
    <row r="109" spans="1:32" ht="47.25" thickBot="1">
      <c r="A109" s="44">
        <v>16</v>
      </c>
      <c r="B109" s="45" t="s">
        <v>54</v>
      </c>
      <c r="C109" s="51">
        <v>30</v>
      </c>
      <c r="D109" s="57"/>
      <c r="E109" s="57"/>
      <c r="F109" s="57"/>
      <c r="G109" s="57"/>
      <c r="H109" s="51"/>
      <c r="I109" s="51"/>
      <c r="J109" s="51"/>
      <c r="K109" s="51"/>
      <c r="L109" s="51"/>
      <c r="M109" s="51"/>
      <c r="N109" s="51"/>
      <c r="O109" s="52"/>
      <c r="P109" s="46"/>
      <c r="Q109" s="46">
        <v>5</v>
      </c>
      <c r="R109" s="46"/>
      <c r="S109" s="52"/>
      <c r="T109" s="46"/>
      <c r="U109" s="52"/>
      <c r="V109" s="44"/>
      <c r="W109" s="46"/>
      <c r="X109" s="52"/>
      <c r="Y109" s="44"/>
      <c r="Z109" s="46"/>
      <c r="AA109" s="46"/>
      <c r="AB109" s="44"/>
      <c r="AC109" s="52"/>
      <c r="AD109" s="46"/>
      <c r="AE109" s="52"/>
      <c r="AF109" s="46"/>
    </row>
    <row r="110" spans="1:32" ht="47.25" thickBot="1">
      <c r="A110" s="44"/>
      <c r="B110" s="45" t="s">
        <v>8</v>
      </c>
      <c r="C110" s="46">
        <f>SUM(C107+C108+C109)</f>
        <v>30</v>
      </c>
      <c r="D110" s="46">
        <f aca="true" t="shared" si="21" ref="D110:AF110">SUM(D107+D108+D109)</f>
        <v>0</v>
      </c>
      <c r="E110" s="46">
        <f t="shared" si="21"/>
        <v>0</v>
      </c>
      <c r="F110" s="46">
        <f t="shared" si="21"/>
        <v>0</v>
      </c>
      <c r="G110" s="46">
        <f t="shared" si="21"/>
        <v>20</v>
      </c>
      <c r="H110" s="46">
        <f t="shared" si="21"/>
        <v>0</v>
      </c>
      <c r="I110" s="46">
        <f t="shared" si="21"/>
        <v>0</v>
      </c>
      <c r="J110" s="46">
        <f t="shared" si="21"/>
        <v>0</v>
      </c>
      <c r="K110" s="46">
        <f t="shared" si="21"/>
        <v>0</v>
      </c>
      <c r="L110" s="46">
        <f t="shared" si="21"/>
        <v>0</v>
      </c>
      <c r="M110" s="46">
        <f t="shared" si="21"/>
        <v>0</v>
      </c>
      <c r="N110" s="46">
        <f t="shared" si="21"/>
        <v>0</v>
      </c>
      <c r="O110" s="46">
        <f t="shared" si="21"/>
        <v>0</v>
      </c>
      <c r="P110" s="46">
        <f t="shared" si="21"/>
        <v>7.4</v>
      </c>
      <c r="Q110" s="46">
        <f t="shared" si="21"/>
        <v>8</v>
      </c>
      <c r="R110" s="46">
        <f t="shared" si="21"/>
        <v>0</v>
      </c>
      <c r="S110" s="46">
        <f t="shared" si="21"/>
        <v>0</v>
      </c>
      <c r="T110" s="46">
        <f t="shared" si="21"/>
        <v>185</v>
      </c>
      <c r="U110" s="46">
        <f t="shared" si="21"/>
        <v>0</v>
      </c>
      <c r="V110" s="46">
        <f t="shared" si="21"/>
        <v>0</v>
      </c>
      <c r="W110" s="46">
        <f t="shared" si="21"/>
        <v>0</v>
      </c>
      <c r="X110" s="46">
        <f t="shared" si="21"/>
        <v>0</v>
      </c>
      <c r="Y110" s="46">
        <f t="shared" si="21"/>
        <v>0</v>
      </c>
      <c r="Z110" s="46">
        <f t="shared" si="21"/>
        <v>0</v>
      </c>
      <c r="AA110" s="46">
        <f t="shared" si="21"/>
        <v>0</v>
      </c>
      <c r="AB110" s="46">
        <f t="shared" si="21"/>
        <v>0</v>
      </c>
      <c r="AC110" s="46">
        <f t="shared" si="21"/>
        <v>0</v>
      </c>
      <c r="AD110" s="46">
        <f t="shared" si="21"/>
        <v>1.2</v>
      </c>
      <c r="AE110" s="46">
        <f t="shared" si="21"/>
        <v>0</v>
      </c>
      <c r="AF110" s="46">
        <f t="shared" si="21"/>
        <v>0</v>
      </c>
    </row>
    <row r="111" spans="1:32" ht="47.25" thickBot="1">
      <c r="A111" s="156" t="s">
        <v>107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57"/>
    </row>
    <row r="112" spans="1:32" ht="47.25" thickBot="1">
      <c r="A112" s="44" t="s">
        <v>45</v>
      </c>
      <c r="B112" s="48" t="s">
        <v>108</v>
      </c>
      <c r="C112" s="46"/>
      <c r="D112" s="51"/>
      <c r="E112" s="51"/>
      <c r="F112" s="51"/>
      <c r="G112" s="51"/>
      <c r="H112" s="51"/>
      <c r="I112" s="51"/>
      <c r="J112" s="51"/>
      <c r="K112" s="51">
        <v>90</v>
      </c>
      <c r="L112" s="51"/>
      <c r="M112" s="51"/>
      <c r="N112" s="51"/>
      <c r="O112" s="52"/>
      <c r="P112" s="46"/>
      <c r="Q112" s="52"/>
      <c r="R112" s="46"/>
      <c r="S112" s="52"/>
      <c r="T112" s="46"/>
      <c r="U112" s="52"/>
      <c r="V112" s="46"/>
      <c r="W112" s="46"/>
      <c r="X112" s="52"/>
      <c r="Y112" s="46"/>
      <c r="Z112" s="46"/>
      <c r="AA112" s="52"/>
      <c r="AB112" s="46"/>
      <c r="AC112" s="52"/>
      <c r="AD112" s="46"/>
      <c r="AE112" s="46"/>
      <c r="AF112" s="51"/>
    </row>
    <row r="113" spans="1:32" ht="47.25" thickBot="1">
      <c r="A113" s="44" t="s">
        <v>45</v>
      </c>
      <c r="B113" s="45" t="s">
        <v>127</v>
      </c>
      <c r="C113" s="46"/>
      <c r="D113" s="51"/>
      <c r="E113" s="51"/>
      <c r="F113" s="51"/>
      <c r="G113" s="51"/>
      <c r="H113" s="51"/>
      <c r="I113" s="51"/>
      <c r="J113" s="51"/>
      <c r="K113" s="51"/>
      <c r="L113" s="51"/>
      <c r="M113" s="51">
        <v>110</v>
      </c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7"/>
    </row>
    <row r="114" spans="1:32" ht="47.25" thickBot="1">
      <c r="A114" s="44"/>
      <c r="B114" s="45" t="s">
        <v>37</v>
      </c>
      <c r="C114" s="46">
        <f>SUM(C112:C113)</f>
        <v>0</v>
      </c>
      <c r="D114" s="46">
        <f aca="true" t="shared" si="22" ref="D114:O114">SUM(D112:D113)</f>
        <v>0</v>
      </c>
      <c r="E114" s="46">
        <f t="shared" si="22"/>
        <v>0</v>
      </c>
      <c r="F114" s="46">
        <f t="shared" si="22"/>
        <v>0</v>
      </c>
      <c r="G114" s="46">
        <f t="shared" si="22"/>
        <v>0</v>
      </c>
      <c r="H114" s="46">
        <f t="shared" si="22"/>
        <v>0</v>
      </c>
      <c r="I114" s="46">
        <f t="shared" si="22"/>
        <v>0</v>
      </c>
      <c r="J114" s="46">
        <f t="shared" si="22"/>
        <v>0</v>
      </c>
      <c r="K114" s="46">
        <f t="shared" si="22"/>
        <v>90</v>
      </c>
      <c r="L114" s="46">
        <f t="shared" si="22"/>
        <v>0</v>
      </c>
      <c r="M114" s="46">
        <f t="shared" si="22"/>
        <v>110</v>
      </c>
      <c r="N114" s="46">
        <f t="shared" si="22"/>
        <v>0</v>
      </c>
      <c r="O114" s="46">
        <f t="shared" si="22"/>
        <v>0</v>
      </c>
      <c r="P114" s="51">
        <f aca="true" t="shared" si="23" ref="P114:AE114">SUM(P112)</f>
        <v>0</v>
      </c>
      <c r="Q114" s="51">
        <f t="shared" si="23"/>
        <v>0</v>
      </c>
      <c r="R114" s="51">
        <f t="shared" si="23"/>
        <v>0</v>
      </c>
      <c r="S114" s="51">
        <f t="shared" si="23"/>
        <v>0</v>
      </c>
      <c r="T114" s="51">
        <f t="shared" si="23"/>
        <v>0</v>
      </c>
      <c r="U114" s="51">
        <f t="shared" si="23"/>
        <v>0</v>
      </c>
      <c r="V114" s="51">
        <f t="shared" si="23"/>
        <v>0</v>
      </c>
      <c r="W114" s="51">
        <f t="shared" si="23"/>
        <v>0</v>
      </c>
      <c r="X114" s="51">
        <f t="shared" si="23"/>
        <v>0</v>
      </c>
      <c r="Y114" s="51">
        <f t="shared" si="23"/>
        <v>0</v>
      </c>
      <c r="Z114" s="51">
        <f t="shared" si="23"/>
        <v>0</v>
      </c>
      <c r="AA114" s="51">
        <f t="shared" si="23"/>
        <v>0</v>
      </c>
      <c r="AB114" s="51">
        <f t="shared" si="23"/>
        <v>0</v>
      </c>
      <c r="AC114" s="51">
        <f t="shared" si="23"/>
        <v>0</v>
      </c>
      <c r="AD114" s="51">
        <f t="shared" si="23"/>
        <v>0</v>
      </c>
      <c r="AE114" s="51">
        <f t="shared" si="23"/>
        <v>0</v>
      </c>
      <c r="AF114" s="51">
        <f>SUM(AF112)</f>
        <v>0</v>
      </c>
    </row>
    <row r="115" spans="1:32" ht="47.25" thickBot="1">
      <c r="A115" s="156" t="s">
        <v>40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57"/>
    </row>
    <row r="116" spans="1:32" ht="93.75" thickBot="1">
      <c r="A116" s="46">
        <v>93</v>
      </c>
      <c r="B116" s="45" t="s">
        <v>208</v>
      </c>
      <c r="C116" s="44"/>
      <c r="D116" s="51"/>
      <c r="E116" s="51"/>
      <c r="F116" s="51"/>
      <c r="G116" s="51"/>
      <c r="H116" s="51"/>
      <c r="I116" s="51"/>
      <c r="J116" s="51">
        <v>60</v>
      </c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</row>
    <row r="117" spans="1:32" ht="93.75" thickBot="1">
      <c r="A117" s="44">
        <v>5</v>
      </c>
      <c r="B117" s="45" t="s">
        <v>63</v>
      </c>
      <c r="C117" s="46"/>
      <c r="D117" s="51"/>
      <c r="E117" s="51"/>
      <c r="F117" s="51"/>
      <c r="G117" s="51"/>
      <c r="H117" s="51"/>
      <c r="I117" s="51">
        <v>20</v>
      </c>
      <c r="J117" s="51">
        <v>83</v>
      </c>
      <c r="K117" s="51"/>
      <c r="L117" s="51"/>
      <c r="M117" s="51"/>
      <c r="N117" s="51"/>
      <c r="O117" s="52"/>
      <c r="P117" s="44">
        <v>2.5</v>
      </c>
      <c r="Q117" s="52">
        <v>4</v>
      </c>
      <c r="R117" s="44"/>
      <c r="S117" s="52"/>
      <c r="T117" s="44"/>
      <c r="U117" s="52"/>
      <c r="V117" s="44"/>
      <c r="W117" s="44">
        <v>16</v>
      </c>
      <c r="X117" s="52"/>
      <c r="Y117" s="44"/>
      <c r="Z117" s="46">
        <v>7</v>
      </c>
      <c r="AA117" s="52"/>
      <c r="AB117" s="44"/>
      <c r="AC117" s="44"/>
      <c r="AD117" s="52"/>
      <c r="AE117" s="44"/>
      <c r="AF117" s="51"/>
    </row>
    <row r="118" spans="1:32" ht="47.25" thickBot="1">
      <c r="A118" s="44">
        <v>35</v>
      </c>
      <c r="B118" s="45" t="s">
        <v>42</v>
      </c>
      <c r="C118" s="46"/>
      <c r="D118" s="51"/>
      <c r="E118" s="51">
        <v>1.2</v>
      </c>
      <c r="F118" s="51"/>
      <c r="G118" s="51"/>
      <c r="H118" s="51"/>
      <c r="I118" s="51"/>
      <c r="J118" s="51">
        <v>10.3</v>
      </c>
      <c r="K118" s="51"/>
      <c r="L118" s="51"/>
      <c r="M118" s="51"/>
      <c r="N118" s="51"/>
      <c r="O118" s="52"/>
      <c r="P118" s="44"/>
      <c r="Q118" s="52"/>
      <c r="R118" s="44">
        <v>4</v>
      </c>
      <c r="S118" s="52"/>
      <c r="T118" s="44"/>
      <c r="U118" s="52"/>
      <c r="V118" s="44"/>
      <c r="W118" s="44">
        <v>58</v>
      </c>
      <c r="X118" s="52"/>
      <c r="Y118" s="44"/>
      <c r="Z118" s="44"/>
      <c r="AA118" s="52"/>
      <c r="AB118" s="44"/>
      <c r="AC118" s="44"/>
      <c r="AD118" s="52"/>
      <c r="AE118" s="44"/>
      <c r="AF118" s="51"/>
    </row>
    <row r="119" spans="1:32" ht="47.25" thickBot="1">
      <c r="A119" s="44">
        <v>30</v>
      </c>
      <c r="B119" s="45" t="s">
        <v>136</v>
      </c>
      <c r="C119" s="46"/>
      <c r="D119" s="51"/>
      <c r="E119" s="51"/>
      <c r="F119" s="51"/>
      <c r="G119" s="51"/>
      <c r="H119" s="51">
        <v>44</v>
      </c>
      <c r="I119" s="51"/>
      <c r="J119" s="51">
        <v>42</v>
      </c>
      <c r="K119" s="51"/>
      <c r="L119" s="51"/>
      <c r="M119" s="51"/>
      <c r="N119" s="51"/>
      <c r="O119" s="51"/>
      <c r="P119" s="51"/>
      <c r="Q119" s="51">
        <v>8</v>
      </c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2" ht="47.25" thickBot="1">
      <c r="A120" s="44">
        <v>20</v>
      </c>
      <c r="B120" s="45" t="s">
        <v>43</v>
      </c>
      <c r="C120" s="46"/>
      <c r="D120" s="57"/>
      <c r="E120" s="57"/>
      <c r="F120" s="57">
        <v>7.5</v>
      </c>
      <c r="G120" s="57"/>
      <c r="H120" s="51"/>
      <c r="I120" s="51"/>
      <c r="J120" s="51"/>
      <c r="K120" s="51"/>
      <c r="L120" s="51"/>
      <c r="M120" s="51">
        <v>2</v>
      </c>
      <c r="N120" s="51"/>
      <c r="O120" s="52"/>
      <c r="P120" s="46">
        <v>15</v>
      </c>
      <c r="Q120" s="52"/>
      <c r="R120" s="46"/>
      <c r="S120" s="52"/>
      <c r="T120" s="46"/>
      <c r="U120" s="52"/>
      <c r="V120" s="44"/>
      <c r="W120" s="46"/>
      <c r="X120" s="52"/>
      <c r="Y120" s="44"/>
      <c r="Z120" s="46"/>
      <c r="AA120" s="46"/>
      <c r="AB120" s="52"/>
      <c r="AC120" s="44"/>
      <c r="AD120" s="46"/>
      <c r="AE120" s="52"/>
      <c r="AF120" s="46"/>
    </row>
    <row r="121" spans="1:32" ht="47.25" thickBot="1">
      <c r="A121" s="44" t="s">
        <v>45</v>
      </c>
      <c r="B121" s="45" t="s">
        <v>114</v>
      </c>
      <c r="C121" s="51">
        <v>35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2"/>
      <c r="Y121" s="44"/>
      <c r="Z121" s="51"/>
      <c r="AA121" s="51"/>
      <c r="AB121" s="51"/>
      <c r="AC121" s="51"/>
      <c r="AD121" s="51"/>
      <c r="AE121" s="51"/>
      <c r="AF121" s="51"/>
    </row>
    <row r="122" spans="1:32" ht="47.25" thickBot="1">
      <c r="A122" s="44" t="s">
        <v>45</v>
      </c>
      <c r="B122" s="45" t="s">
        <v>144</v>
      </c>
      <c r="C122" s="46"/>
      <c r="D122" s="51">
        <v>45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2"/>
      <c r="Y122" s="44"/>
      <c r="Z122" s="51"/>
      <c r="AA122" s="51"/>
      <c r="AB122" s="51"/>
      <c r="AC122" s="51"/>
      <c r="AD122" s="51"/>
      <c r="AE122" s="51"/>
      <c r="AF122" s="51"/>
    </row>
    <row r="123" spans="1:32" ht="47.25" thickBot="1">
      <c r="A123" s="44"/>
      <c r="B123" s="45" t="s">
        <v>8</v>
      </c>
      <c r="C123" s="46">
        <f>SUM(C116:C122)</f>
        <v>35</v>
      </c>
      <c r="D123" s="46">
        <f aca="true" t="shared" si="24" ref="D123:AF123">SUM(D116:D122)</f>
        <v>45</v>
      </c>
      <c r="E123" s="46">
        <f t="shared" si="24"/>
        <v>1.2</v>
      </c>
      <c r="F123" s="46">
        <f t="shared" si="24"/>
        <v>7.5</v>
      </c>
      <c r="G123" s="46">
        <f t="shared" si="24"/>
        <v>0</v>
      </c>
      <c r="H123" s="46">
        <f t="shared" si="24"/>
        <v>44</v>
      </c>
      <c r="I123" s="46">
        <f t="shared" si="24"/>
        <v>20</v>
      </c>
      <c r="J123" s="46">
        <f t="shared" si="24"/>
        <v>195.3</v>
      </c>
      <c r="K123" s="46">
        <f t="shared" si="24"/>
        <v>0</v>
      </c>
      <c r="L123" s="46">
        <f t="shared" si="24"/>
        <v>0</v>
      </c>
      <c r="M123" s="46">
        <f t="shared" si="24"/>
        <v>2</v>
      </c>
      <c r="N123" s="46">
        <f t="shared" si="24"/>
        <v>0</v>
      </c>
      <c r="O123" s="46">
        <f t="shared" si="24"/>
        <v>0</v>
      </c>
      <c r="P123" s="46">
        <f t="shared" si="24"/>
        <v>17.5</v>
      </c>
      <c r="Q123" s="46">
        <f t="shared" si="24"/>
        <v>12</v>
      </c>
      <c r="R123" s="46">
        <f t="shared" si="24"/>
        <v>4</v>
      </c>
      <c r="S123" s="46">
        <f t="shared" si="24"/>
        <v>0</v>
      </c>
      <c r="T123" s="46">
        <f t="shared" si="24"/>
        <v>0</v>
      </c>
      <c r="U123" s="46">
        <f t="shared" si="24"/>
        <v>0</v>
      </c>
      <c r="V123" s="46">
        <f t="shared" si="24"/>
        <v>0</v>
      </c>
      <c r="W123" s="46">
        <f t="shared" si="24"/>
        <v>74</v>
      </c>
      <c r="X123" s="46">
        <f t="shared" si="24"/>
        <v>0</v>
      </c>
      <c r="Y123" s="46">
        <f t="shared" si="24"/>
        <v>0</v>
      </c>
      <c r="Z123" s="46">
        <f t="shared" si="24"/>
        <v>7</v>
      </c>
      <c r="AA123" s="46">
        <f t="shared" si="24"/>
        <v>0</v>
      </c>
      <c r="AB123" s="46">
        <f t="shared" si="24"/>
        <v>0</v>
      </c>
      <c r="AC123" s="46">
        <f t="shared" si="24"/>
        <v>0</v>
      </c>
      <c r="AD123" s="46">
        <f t="shared" si="24"/>
        <v>0</v>
      </c>
      <c r="AE123" s="46">
        <f t="shared" si="24"/>
        <v>0</v>
      </c>
      <c r="AF123" s="46">
        <f t="shared" si="24"/>
        <v>0</v>
      </c>
    </row>
    <row r="124" spans="1:32" ht="46.5" customHeight="1" thickBot="1">
      <c r="A124" s="156" t="s">
        <v>207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57"/>
    </row>
    <row r="125" spans="1:32" ht="46.5" customHeight="1" thickBot="1">
      <c r="A125" s="44">
        <v>90</v>
      </c>
      <c r="B125" s="45" t="s">
        <v>197</v>
      </c>
      <c r="C125" s="46"/>
      <c r="D125" s="51"/>
      <c r="E125" s="51"/>
      <c r="F125" s="51"/>
      <c r="G125" s="51"/>
      <c r="H125" s="51"/>
      <c r="I125" s="51">
        <v>86</v>
      </c>
      <c r="J125" s="51">
        <v>79</v>
      </c>
      <c r="K125" s="51"/>
      <c r="L125" s="51"/>
      <c r="M125" s="51"/>
      <c r="N125" s="51"/>
      <c r="O125" s="44"/>
      <c r="P125" s="52"/>
      <c r="Q125" s="44">
        <v>7</v>
      </c>
      <c r="R125" s="52"/>
      <c r="S125" s="44"/>
      <c r="T125" s="52"/>
      <c r="U125" s="66"/>
      <c r="V125" s="44"/>
      <c r="W125" s="44"/>
      <c r="X125" s="52"/>
      <c r="Y125" s="44"/>
      <c r="Z125" s="52"/>
      <c r="AA125" s="44"/>
      <c r="AB125" s="44"/>
      <c r="AC125" s="52"/>
      <c r="AD125" s="44"/>
      <c r="AE125" s="44"/>
      <c r="AF125" s="51"/>
    </row>
    <row r="126" spans="1:32" ht="46.5" customHeight="1" thickBot="1">
      <c r="A126" s="49">
        <v>76</v>
      </c>
      <c r="B126" s="50" t="s">
        <v>61</v>
      </c>
      <c r="C126" s="46"/>
      <c r="D126" s="57"/>
      <c r="E126" s="57"/>
      <c r="F126" s="57"/>
      <c r="G126" s="57"/>
      <c r="H126" s="51"/>
      <c r="I126" s="51"/>
      <c r="J126" s="51"/>
      <c r="K126" s="51"/>
      <c r="L126" s="51"/>
      <c r="M126" s="51"/>
      <c r="N126" s="51"/>
      <c r="O126" s="51"/>
      <c r="P126" s="46">
        <v>12</v>
      </c>
      <c r="Q126" s="51"/>
      <c r="R126" s="51"/>
      <c r="S126" s="51"/>
      <c r="T126" s="51">
        <v>50</v>
      </c>
      <c r="U126" s="51"/>
      <c r="V126" s="51"/>
      <c r="W126" s="51"/>
      <c r="X126" s="51"/>
      <c r="Y126" s="51"/>
      <c r="Z126" s="51"/>
      <c r="AA126" s="51"/>
      <c r="AB126" s="46">
        <v>0.6</v>
      </c>
      <c r="AC126" s="51"/>
      <c r="AD126" s="51"/>
      <c r="AE126" s="51"/>
      <c r="AF126" s="51"/>
    </row>
    <row r="127" spans="1:32" ht="46.5" customHeight="1" thickBot="1">
      <c r="A127" s="44" t="s">
        <v>45</v>
      </c>
      <c r="B127" s="45" t="s">
        <v>114</v>
      </c>
      <c r="C127" s="46">
        <v>30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2"/>
      <c r="V127" s="44"/>
      <c r="W127" s="51"/>
      <c r="X127" s="52"/>
      <c r="Y127" s="44"/>
      <c r="Z127" s="51"/>
      <c r="AA127" s="51"/>
      <c r="AB127" s="51"/>
      <c r="AC127" s="51"/>
      <c r="AD127" s="51"/>
      <c r="AE127" s="51"/>
      <c r="AF127" s="51"/>
    </row>
    <row r="128" spans="1:32" ht="46.5" customHeight="1" thickBot="1">
      <c r="A128" s="44">
        <v>21</v>
      </c>
      <c r="B128" s="73" t="s">
        <v>38</v>
      </c>
      <c r="C128" s="44"/>
      <c r="D128" s="51"/>
      <c r="E128" s="44"/>
      <c r="F128" s="44"/>
      <c r="G128" s="44"/>
      <c r="H128" s="51"/>
      <c r="I128" s="51"/>
      <c r="J128" s="51"/>
      <c r="K128" s="51"/>
      <c r="L128" s="51"/>
      <c r="M128" s="51"/>
      <c r="N128" s="51"/>
      <c r="O128" s="52"/>
      <c r="P128" s="46"/>
      <c r="Q128" s="52"/>
      <c r="R128" s="46"/>
      <c r="S128" s="52"/>
      <c r="T128" s="46">
        <v>154</v>
      </c>
      <c r="U128" s="52"/>
      <c r="V128" s="46"/>
      <c r="W128" s="46"/>
      <c r="X128" s="52"/>
      <c r="Y128" s="46"/>
      <c r="Z128" s="46"/>
      <c r="AA128" s="52"/>
      <c r="AB128" s="46"/>
      <c r="AC128" s="46"/>
      <c r="AD128" s="52"/>
      <c r="AE128" s="46"/>
      <c r="AF128" s="51"/>
    </row>
    <row r="129" spans="1:32" ht="93.75" thickBot="1">
      <c r="A129" s="44" t="s">
        <v>230</v>
      </c>
      <c r="B129" s="45" t="s">
        <v>229</v>
      </c>
      <c r="C129" s="46"/>
      <c r="D129" s="51"/>
      <c r="E129" s="51">
        <v>27</v>
      </c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>
        <v>11</v>
      </c>
      <c r="Q129" s="51">
        <v>10.5</v>
      </c>
      <c r="R129" s="51">
        <v>0.3</v>
      </c>
      <c r="S129" s="51">
        <v>7</v>
      </c>
      <c r="T129" s="51"/>
      <c r="U129" s="51">
        <v>27</v>
      </c>
      <c r="V129" s="51"/>
      <c r="W129" s="51"/>
      <c r="X129" s="51"/>
      <c r="Y129" s="51"/>
      <c r="Z129" s="51">
        <v>2</v>
      </c>
      <c r="AA129" s="51"/>
      <c r="AB129" s="51"/>
      <c r="AC129" s="51"/>
      <c r="AD129" s="51"/>
      <c r="AE129" s="51"/>
      <c r="AF129" s="46"/>
    </row>
    <row r="130" spans="1:32" ht="47.25" thickBot="1">
      <c r="A130" s="44"/>
      <c r="B130" s="45" t="s">
        <v>8</v>
      </c>
      <c r="C130" s="46">
        <f>SUM(C125:C129)</f>
        <v>30</v>
      </c>
      <c r="D130" s="46">
        <f aca="true" t="shared" si="25" ref="D130:L130">SUM(D125:D129)</f>
        <v>0</v>
      </c>
      <c r="E130" s="46">
        <f t="shared" si="25"/>
        <v>27</v>
      </c>
      <c r="F130" s="46">
        <f t="shared" si="25"/>
        <v>0</v>
      </c>
      <c r="G130" s="46">
        <f t="shared" si="25"/>
        <v>0</v>
      </c>
      <c r="H130" s="46">
        <f t="shared" si="25"/>
        <v>0</v>
      </c>
      <c r="I130" s="46">
        <f t="shared" si="25"/>
        <v>86</v>
      </c>
      <c r="J130" s="46">
        <f t="shared" si="25"/>
        <v>79</v>
      </c>
      <c r="K130" s="46">
        <f t="shared" si="25"/>
        <v>0</v>
      </c>
      <c r="L130" s="46">
        <f t="shared" si="25"/>
        <v>0</v>
      </c>
      <c r="M130" s="46">
        <f aca="true" t="shared" si="26" ref="M130:AF130">SUM(M125:M129)</f>
        <v>0</v>
      </c>
      <c r="N130" s="46">
        <f t="shared" si="26"/>
        <v>0</v>
      </c>
      <c r="O130" s="46">
        <f t="shared" si="26"/>
        <v>0</v>
      </c>
      <c r="P130" s="46">
        <f t="shared" si="26"/>
        <v>23</v>
      </c>
      <c r="Q130" s="46">
        <f t="shared" si="26"/>
        <v>17.5</v>
      </c>
      <c r="R130" s="46">
        <f t="shared" si="26"/>
        <v>0.3</v>
      </c>
      <c r="S130" s="46">
        <f t="shared" si="26"/>
        <v>7</v>
      </c>
      <c r="T130" s="46">
        <f t="shared" si="26"/>
        <v>204</v>
      </c>
      <c r="U130" s="46">
        <f t="shared" si="26"/>
        <v>27</v>
      </c>
      <c r="V130" s="46">
        <f t="shared" si="26"/>
        <v>0</v>
      </c>
      <c r="W130" s="46">
        <f t="shared" si="26"/>
        <v>0</v>
      </c>
      <c r="X130" s="46">
        <f t="shared" si="26"/>
        <v>0</v>
      </c>
      <c r="Y130" s="46">
        <f t="shared" si="26"/>
        <v>0</v>
      </c>
      <c r="Z130" s="46">
        <f t="shared" si="26"/>
        <v>2</v>
      </c>
      <c r="AA130" s="46">
        <f t="shared" si="26"/>
        <v>0</v>
      </c>
      <c r="AB130" s="46">
        <f t="shared" si="26"/>
        <v>0.6</v>
      </c>
      <c r="AC130" s="46">
        <f t="shared" si="26"/>
        <v>0</v>
      </c>
      <c r="AD130" s="46">
        <f t="shared" si="26"/>
        <v>0</v>
      </c>
      <c r="AE130" s="46">
        <f t="shared" si="26"/>
        <v>0</v>
      </c>
      <c r="AF130" s="46">
        <f t="shared" si="26"/>
        <v>0</v>
      </c>
    </row>
    <row r="131" spans="1:32" ht="93.75" thickBot="1">
      <c r="A131" s="95"/>
      <c r="B131" s="45" t="s">
        <v>145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>
        <v>6</v>
      </c>
      <c r="AF131" s="46"/>
    </row>
    <row r="132" spans="1:32" ht="47.25" thickBot="1">
      <c r="A132" s="44"/>
      <c r="B132" s="74" t="s">
        <v>12</v>
      </c>
      <c r="C132" s="46">
        <f aca="true" t="shared" si="27" ref="C132:AD132">SUM(C110+C114+C123+C130)</f>
        <v>95</v>
      </c>
      <c r="D132" s="46">
        <f t="shared" si="27"/>
        <v>45</v>
      </c>
      <c r="E132" s="46">
        <f t="shared" si="27"/>
        <v>28.2</v>
      </c>
      <c r="F132" s="46">
        <f t="shared" si="27"/>
        <v>7.5</v>
      </c>
      <c r="G132" s="46">
        <f t="shared" si="27"/>
        <v>20</v>
      </c>
      <c r="H132" s="46">
        <f t="shared" si="27"/>
        <v>44</v>
      </c>
      <c r="I132" s="46">
        <f t="shared" si="27"/>
        <v>106</v>
      </c>
      <c r="J132" s="46">
        <f t="shared" si="27"/>
        <v>274.3</v>
      </c>
      <c r="K132" s="46">
        <f t="shared" si="27"/>
        <v>90</v>
      </c>
      <c r="L132" s="46">
        <f t="shared" si="27"/>
        <v>0</v>
      </c>
      <c r="M132" s="46">
        <f t="shared" si="27"/>
        <v>112</v>
      </c>
      <c r="N132" s="46">
        <f t="shared" si="27"/>
        <v>0</v>
      </c>
      <c r="O132" s="46">
        <f t="shared" si="27"/>
        <v>0</v>
      </c>
      <c r="P132" s="46">
        <f t="shared" si="27"/>
        <v>47.9</v>
      </c>
      <c r="Q132" s="46">
        <f t="shared" si="27"/>
        <v>37.5</v>
      </c>
      <c r="R132" s="46">
        <f t="shared" si="27"/>
        <v>4.3</v>
      </c>
      <c r="S132" s="46">
        <f t="shared" si="27"/>
        <v>7</v>
      </c>
      <c r="T132" s="46">
        <f t="shared" si="27"/>
        <v>389</v>
      </c>
      <c r="U132" s="46">
        <f t="shared" si="27"/>
        <v>27</v>
      </c>
      <c r="V132" s="46">
        <f t="shared" si="27"/>
        <v>0</v>
      </c>
      <c r="W132" s="46">
        <f t="shared" si="27"/>
        <v>74</v>
      </c>
      <c r="X132" s="46">
        <f t="shared" si="27"/>
        <v>0</v>
      </c>
      <c r="Y132" s="46">
        <f t="shared" si="27"/>
        <v>0</v>
      </c>
      <c r="Z132" s="46">
        <f t="shared" si="27"/>
        <v>9</v>
      </c>
      <c r="AA132" s="46">
        <f t="shared" si="27"/>
        <v>0</v>
      </c>
      <c r="AB132" s="46">
        <f t="shared" si="27"/>
        <v>0.6</v>
      </c>
      <c r="AC132" s="46">
        <f t="shared" si="27"/>
        <v>0</v>
      </c>
      <c r="AD132" s="46">
        <f t="shared" si="27"/>
        <v>1.2</v>
      </c>
      <c r="AE132" s="46">
        <v>6</v>
      </c>
      <c r="AF132" s="46">
        <f>SUM(AF110+AF114+AF123+AF130)</f>
        <v>0</v>
      </c>
    </row>
    <row r="133" spans="1:32" ht="47.25" thickBot="1">
      <c r="A133" s="165" t="s">
        <v>65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7"/>
    </row>
    <row r="134" spans="1:32" ht="47.25" thickBot="1">
      <c r="A134" s="165" t="s">
        <v>19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7"/>
    </row>
    <row r="135" spans="1:32" ht="45.75" customHeight="1">
      <c r="A135" s="168" t="s">
        <v>39</v>
      </c>
      <c r="B135" s="170" t="s">
        <v>26</v>
      </c>
      <c r="C135" s="154" t="s">
        <v>114</v>
      </c>
      <c r="D135" s="154" t="s">
        <v>115</v>
      </c>
      <c r="E135" s="154" t="s">
        <v>116</v>
      </c>
      <c r="F135" s="154" t="s">
        <v>117</v>
      </c>
      <c r="G135" s="154" t="s">
        <v>109</v>
      </c>
      <c r="H135" s="154" t="s">
        <v>118</v>
      </c>
      <c r="I135" s="154" t="s">
        <v>246</v>
      </c>
      <c r="J135" s="154" t="s">
        <v>247</v>
      </c>
      <c r="K135" s="90"/>
      <c r="L135" s="90"/>
      <c r="M135" s="154" t="s">
        <v>217</v>
      </c>
      <c r="N135" s="154" t="s">
        <v>121</v>
      </c>
      <c r="O135" s="154" t="s">
        <v>81</v>
      </c>
      <c r="P135" s="154" t="s">
        <v>82</v>
      </c>
      <c r="Q135" s="154" t="s">
        <v>122</v>
      </c>
      <c r="R135" s="154" t="s">
        <v>83</v>
      </c>
      <c r="S135" s="154" t="s">
        <v>123</v>
      </c>
      <c r="T135" s="154" t="s">
        <v>126</v>
      </c>
      <c r="U135" s="154" t="s">
        <v>143</v>
      </c>
      <c r="V135" s="90"/>
      <c r="W135" s="154" t="s">
        <v>248</v>
      </c>
      <c r="X135" s="154" t="s">
        <v>249</v>
      </c>
      <c r="Y135" s="154" t="s">
        <v>250</v>
      </c>
      <c r="Z135" s="154" t="s">
        <v>84</v>
      </c>
      <c r="AA135" s="154" t="s">
        <v>85</v>
      </c>
      <c r="AB135" s="154" t="s">
        <v>89</v>
      </c>
      <c r="AC135" s="90"/>
      <c r="AD135" s="154" t="s">
        <v>124</v>
      </c>
      <c r="AE135" s="154" t="s">
        <v>86</v>
      </c>
      <c r="AF135" s="154" t="s">
        <v>125</v>
      </c>
    </row>
    <row r="136" spans="1:32" ht="397.5" customHeight="1" thickBot="1">
      <c r="A136" s="169"/>
      <c r="B136" s="171"/>
      <c r="C136" s="155"/>
      <c r="D136" s="155"/>
      <c r="E136" s="155"/>
      <c r="F136" s="155"/>
      <c r="G136" s="155"/>
      <c r="H136" s="155"/>
      <c r="I136" s="155"/>
      <c r="J136" s="155"/>
      <c r="K136" s="91" t="s">
        <v>119</v>
      </c>
      <c r="L136" s="91" t="s">
        <v>120</v>
      </c>
      <c r="M136" s="155"/>
      <c r="N136" s="155"/>
      <c r="O136" s="155"/>
      <c r="P136" s="155"/>
      <c r="Q136" s="155"/>
      <c r="R136" s="155"/>
      <c r="S136" s="155"/>
      <c r="T136" s="155"/>
      <c r="U136" s="155"/>
      <c r="V136" s="91" t="s">
        <v>111</v>
      </c>
      <c r="W136" s="155"/>
      <c r="X136" s="155"/>
      <c r="Y136" s="155"/>
      <c r="Z136" s="155"/>
      <c r="AA136" s="155"/>
      <c r="AB136" s="155"/>
      <c r="AC136" s="91" t="s">
        <v>110</v>
      </c>
      <c r="AD136" s="155"/>
      <c r="AE136" s="155"/>
      <c r="AF136" s="155"/>
    </row>
    <row r="137" spans="1:32" ht="47.25" thickBot="1">
      <c r="A137" s="95">
        <v>1</v>
      </c>
      <c r="B137" s="68">
        <v>2</v>
      </c>
      <c r="C137" s="69" t="s">
        <v>112</v>
      </c>
      <c r="D137" s="70">
        <v>4</v>
      </c>
      <c r="E137" s="69">
        <v>5</v>
      </c>
      <c r="F137" s="69">
        <v>6</v>
      </c>
      <c r="G137" s="69">
        <v>7</v>
      </c>
      <c r="H137" s="69">
        <v>8</v>
      </c>
      <c r="I137" s="69" t="s">
        <v>113</v>
      </c>
      <c r="J137" s="70">
        <v>10</v>
      </c>
      <c r="K137" s="69">
        <v>11</v>
      </c>
      <c r="L137" s="85">
        <v>12</v>
      </c>
      <c r="M137" s="69">
        <v>13</v>
      </c>
      <c r="N137" s="69">
        <v>14</v>
      </c>
      <c r="O137" s="69">
        <v>15</v>
      </c>
      <c r="P137" s="69">
        <v>16</v>
      </c>
      <c r="Q137" s="94">
        <v>17</v>
      </c>
      <c r="R137" s="69">
        <v>18</v>
      </c>
      <c r="S137" s="94">
        <v>19</v>
      </c>
      <c r="T137" s="69">
        <v>20</v>
      </c>
      <c r="U137" s="94">
        <v>21</v>
      </c>
      <c r="V137" s="94">
        <v>22</v>
      </c>
      <c r="W137" s="69">
        <v>23</v>
      </c>
      <c r="X137" s="69">
        <v>24</v>
      </c>
      <c r="Y137" s="94">
        <v>25</v>
      </c>
      <c r="Z137" s="69">
        <v>26</v>
      </c>
      <c r="AA137" s="69">
        <v>27</v>
      </c>
      <c r="AB137" s="69">
        <v>28</v>
      </c>
      <c r="AC137" s="94">
        <v>29</v>
      </c>
      <c r="AD137" s="69">
        <v>30</v>
      </c>
      <c r="AE137" s="69">
        <v>31</v>
      </c>
      <c r="AF137" s="92">
        <v>32</v>
      </c>
    </row>
    <row r="138" spans="1:32" s="96" customFormat="1" ht="47.25" thickBot="1">
      <c r="A138" s="165" t="s">
        <v>7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7"/>
    </row>
    <row r="139" spans="1:32" ht="47.25" thickBot="1">
      <c r="A139" s="46">
        <v>37</v>
      </c>
      <c r="B139" s="48" t="s">
        <v>53</v>
      </c>
      <c r="C139" s="46"/>
      <c r="D139" s="57"/>
      <c r="E139" s="57"/>
      <c r="F139" s="57"/>
      <c r="G139" s="57"/>
      <c r="H139" s="51"/>
      <c r="I139" s="51"/>
      <c r="J139" s="51"/>
      <c r="K139" s="51"/>
      <c r="L139" s="51"/>
      <c r="M139" s="51"/>
      <c r="N139" s="51"/>
      <c r="O139" s="51"/>
      <c r="P139" s="51"/>
      <c r="Q139" s="51">
        <v>5</v>
      </c>
      <c r="R139" s="51"/>
      <c r="S139" s="51">
        <v>62</v>
      </c>
      <c r="T139" s="51">
        <v>38</v>
      </c>
      <c r="U139" s="52"/>
      <c r="V139" s="46"/>
      <c r="W139" s="52"/>
      <c r="X139" s="46"/>
      <c r="Y139" s="51"/>
      <c r="Z139" s="51"/>
      <c r="AA139" s="51"/>
      <c r="AB139" s="51"/>
      <c r="AC139" s="51"/>
      <c r="AD139" s="51"/>
      <c r="AE139" s="51"/>
      <c r="AF139" s="51"/>
    </row>
    <row r="140" spans="1:32" ht="93.75" thickBot="1">
      <c r="A140" s="46">
        <v>38</v>
      </c>
      <c r="B140" s="45" t="s">
        <v>137</v>
      </c>
      <c r="C140" s="46"/>
      <c r="D140" s="51"/>
      <c r="E140" s="51"/>
      <c r="F140" s="51"/>
      <c r="G140" s="51"/>
      <c r="H140" s="51"/>
      <c r="I140" s="57"/>
      <c r="J140" s="57">
        <v>60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47.25" thickBot="1">
      <c r="A141" s="44">
        <v>2</v>
      </c>
      <c r="B141" s="45" t="s">
        <v>189</v>
      </c>
      <c r="C141" s="46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44"/>
      <c r="P141" s="46">
        <v>12</v>
      </c>
      <c r="Q141" s="44"/>
      <c r="R141" s="52"/>
      <c r="S141" s="44"/>
      <c r="T141" s="46">
        <v>84</v>
      </c>
      <c r="U141" s="44"/>
      <c r="V141" s="52"/>
      <c r="W141" s="44"/>
      <c r="X141" s="52"/>
      <c r="Y141" s="44"/>
      <c r="Z141" s="52"/>
      <c r="AA141" s="44"/>
      <c r="AB141" s="52"/>
      <c r="AC141" s="44">
        <v>2.4</v>
      </c>
      <c r="AD141" s="44"/>
      <c r="AE141" s="44"/>
      <c r="AF141" s="46"/>
    </row>
    <row r="142" spans="1:32" ht="47.25" thickBot="1">
      <c r="A142" s="44">
        <v>3</v>
      </c>
      <c r="B142" s="45" t="s">
        <v>58</v>
      </c>
      <c r="C142" s="51">
        <v>30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44"/>
      <c r="P142" s="52"/>
      <c r="Q142" s="46">
        <v>5</v>
      </c>
      <c r="R142" s="52"/>
      <c r="S142" s="44"/>
      <c r="T142" s="52"/>
      <c r="U142" s="66"/>
      <c r="V142" s="44"/>
      <c r="W142" s="46"/>
      <c r="X142" s="52"/>
      <c r="Y142" s="44"/>
      <c r="Z142" s="52"/>
      <c r="AA142" s="44">
        <v>14.9</v>
      </c>
      <c r="AB142" s="52"/>
      <c r="AC142" s="44"/>
      <c r="AD142" s="51"/>
      <c r="AE142" s="44"/>
      <c r="AF142" s="51"/>
    </row>
    <row r="143" spans="1:32" ht="47.25" thickBot="1">
      <c r="A143" s="44"/>
      <c r="B143" s="45" t="s">
        <v>8</v>
      </c>
      <c r="C143" s="46">
        <f aca="true" t="shared" si="28" ref="C143:AF143">SUM(C139+C141+C142)</f>
        <v>30</v>
      </c>
      <c r="D143" s="46">
        <f t="shared" si="28"/>
        <v>0</v>
      </c>
      <c r="E143" s="46">
        <f t="shared" si="28"/>
        <v>0</v>
      </c>
      <c r="F143" s="46">
        <f t="shared" si="28"/>
        <v>0</v>
      </c>
      <c r="G143" s="46">
        <f t="shared" si="28"/>
        <v>0</v>
      </c>
      <c r="H143" s="46">
        <f t="shared" si="28"/>
        <v>0</v>
      </c>
      <c r="I143" s="46">
        <f t="shared" si="28"/>
        <v>0</v>
      </c>
      <c r="J143" s="46">
        <f t="shared" si="28"/>
        <v>0</v>
      </c>
      <c r="K143" s="46">
        <f t="shared" si="28"/>
        <v>0</v>
      </c>
      <c r="L143" s="46">
        <f t="shared" si="28"/>
        <v>0</v>
      </c>
      <c r="M143" s="46">
        <f t="shared" si="28"/>
        <v>0</v>
      </c>
      <c r="N143" s="46">
        <f t="shared" si="28"/>
        <v>0</v>
      </c>
      <c r="O143" s="46">
        <f t="shared" si="28"/>
        <v>0</v>
      </c>
      <c r="P143" s="46">
        <f t="shared" si="28"/>
        <v>12</v>
      </c>
      <c r="Q143" s="46">
        <f t="shared" si="28"/>
        <v>10</v>
      </c>
      <c r="R143" s="46">
        <f t="shared" si="28"/>
        <v>0</v>
      </c>
      <c r="S143" s="46">
        <f t="shared" si="28"/>
        <v>62</v>
      </c>
      <c r="T143" s="46">
        <f t="shared" si="28"/>
        <v>122</v>
      </c>
      <c r="U143" s="46">
        <f t="shared" si="28"/>
        <v>0</v>
      </c>
      <c r="V143" s="46">
        <f t="shared" si="28"/>
        <v>0</v>
      </c>
      <c r="W143" s="46">
        <f t="shared" si="28"/>
        <v>0</v>
      </c>
      <c r="X143" s="46">
        <f t="shared" si="28"/>
        <v>0</v>
      </c>
      <c r="Y143" s="46">
        <f t="shared" si="28"/>
        <v>0</v>
      </c>
      <c r="Z143" s="46">
        <f t="shared" si="28"/>
        <v>0</v>
      </c>
      <c r="AA143" s="46">
        <f t="shared" si="28"/>
        <v>14.9</v>
      </c>
      <c r="AB143" s="46">
        <f t="shared" si="28"/>
        <v>0</v>
      </c>
      <c r="AC143" s="46">
        <f t="shared" si="28"/>
        <v>2.4</v>
      </c>
      <c r="AD143" s="46">
        <f t="shared" si="28"/>
        <v>0</v>
      </c>
      <c r="AE143" s="46">
        <f t="shared" si="28"/>
        <v>0</v>
      </c>
      <c r="AF143" s="46">
        <f t="shared" si="28"/>
        <v>0</v>
      </c>
    </row>
    <row r="144" spans="1:32" ht="47.25" thickBot="1">
      <c r="A144" s="156" t="s">
        <v>107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57"/>
    </row>
    <row r="145" spans="1:32" ht="47.25" thickBot="1">
      <c r="A145" s="44" t="s">
        <v>45</v>
      </c>
      <c r="B145" s="48" t="s">
        <v>108</v>
      </c>
      <c r="C145" s="46"/>
      <c r="D145" s="51"/>
      <c r="E145" s="51"/>
      <c r="F145" s="51"/>
      <c r="G145" s="51"/>
      <c r="H145" s="51"/>
      <c r="I145" s="51"/>
      <c r="J145" s="51"/>
      <c r="K145" s="51">
        <v>90</v>
      </c>
      <c r="L145" s="51"/>
      <c r="M145" s="51"/>
      <c r="N145" s="51"/>
      <c r="O145" s="52"/>
      <c r="P145" s="46"/>
      <c r="Q145" s="52"/>
      <c r="R145" s="46"/>
      <c r="S145" s="52"/>
      <c r="T145" s="46"/>
      <c r="U145" s="52"/>
      <c r="V145" s="46"/>
      <c r="W145" s="46"/>
      <c r="X145" s="52"/>
      <c r="Y145" s="46"/>
      <c r="Z145" s="46"/>
      <c r="AA145" s="52"/>
      <c r="AB145" s="46"/>
      <c r="AC145" s="52"/>
      <c r="AD145" s="46"/>
      <c r="AE145" s="46"/>
      <c r="AF145" s="51"/>
    </row>
    <row r="146" spans="1:32" ht="47.25" thickBot="1">
      <c r="A146" s="44" t="s">
        <v>45</v>
      </c>
      <c r="B146" s="45" t="s">
        <v>78</v>
      </c>
      <c r="C146" s="46"/>
      <c r="D146" s="57"/>
      <c r="E146" s="57"/>
      <c r="F146" s="57"/>
      <c r="G146" s="57"/>
      <c r="H146" s="51"/>
      <c r="I146" s="51"/>
      <c r="J146" s="51"/>
      <c r="K146" s="51"/>
      <c r="L146" s="51"/>
      <c r="M146" s="51">
        <v>110</v>
      </c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46"/>
      <c r="AC146" s="51"/>
      <c r="AD146" s="51"/>
      <c r="AE146" s="51"/>
      <c r="AF146" s="51"/>
    </row>
    <row r="147" spans="1:32" ht="47.25" thickBot="1">
      <c r="A147" s="44"/>
      <c r="B147" s="45" t="s">
        <v>37</v>
      </c>
      <c r="C147" s="46">
        <f>SUM(C145:C146)</f>
        <v>0</v>
      </c>
      <c r="D147" s="46">
        <f aca="true" t="shared" si="29" ref="D147:N147">SUM(D145:D146)</f>
        <v>0</v>
      </c>
      <c r="E147" s="46">
        <f t="shared" si="29"/>
        <v>0</v>
      </c>
      <c r="F147" s="46">
        <f t="shared" si="29"/>
        <v>0</v>
      </c>
      <c r="G147" s="46">
        <f t="shared" si="29"/>
        <v>0</v>
      </c>
      <c r="H147" s="46">
        <f t="shared" si="29"/>
        <v>0</v>
      </c>
      <c r="I147" s="46">
        <f t="shared" si="29"/>
        <v>0</v>
      </c>
      <c r="J147" s="46">
        <f t="shared" si="29"/>
        <v>0</v>
      </c>
      <c r="K147" s="46">
        <f t="shared" si="29"/>
        <v>90</v>
      </c>
      <c r="L147" s="46">
        <f t="shared" si="29"/>
        <v>0</v>
      </c>
      <c r="M147" s="46">
        <f t="shared" si="29"/>
        <v>110</v>
      </c>
      <c r="N147" s="46">
        <f t="shared" si="29"/>
        <v>0</v>
      </c>
      <c r="O147" s="46">
        <f>SUM(O145)</f>
        <v>0</v>
      </c>
      <c r="P147" s="46">
        <f>SUM(P145)</f>
        <v>0</v>
      </c>
      <c r="Q147" s="46">
        <f>SUM(Q145)</f>
        <v>0</v>
      </c>
      <c r="R147" s="51">
        <f aca="true" t="shared" si="30" ref="R147:AF147">SUM(R145)</f>
        <v>0</v>
      </c>
      <c r="S147" s="51">
        <f t="shared" si="30"/>
        <v>0</v>
      </c>
      <c r="T147" s="51">
        <f t="shared" si="30"/>
        <v>0</v>
      </c>
      <c r="U147" s="51">
        <f t="shared" si="30"/>
        <v>0</v>
      </c>
      <c r="V147" s="51">
        <f t="shared" si="30"/>
        <v>0</v>
      </c>
      <c r="W147" s="51">
        <f t="shared" si="30"/>
        <v>0</v>
      </c>
      <c r="X147" s="51">
        <f t="shared" si="30"/>
        <v>0</v>
      </c>
      <c r="Y147" s="51">
        <f t="shared" si="30"/>
        <v>0</v>
      </c>
      <c r="Z147" s="51">
        <f t="shared" si="30"/>
        <v>0</v>
      </c>
      <c r="AA147" s="51">
        <f t="shared" si="30"/>
        <v>0</v>
      </c>
      <c r="AB147" s="51">
        <f t="shared" si="30"/>
        <v>0</v>
      </c>
      <c r="AC147" s="51">
        <f t="shared" si="30"/>
        <v>0</v>
      </c>
      <c r="AD147" s="51">
        <f t="shared" si="30"/>
        <v>0</v>
      </c>
      <c r="AE147" s="51">
        <f t="shared" si="30"/>
        <v>0</v>
      </c>
      <c r="AF147" s="51">
        <f t="shared" si="30"/>
        <v>0</v>
      </c>
    </row>
    <row r="148" spans="1:32" ht="47.25" thickBot="1">
      <c r="A148" s="156" t="s">
        <v>40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57"/>
    </row>
    <row r="149" spans="1:32" ht="47.25" thickBot="1">
      <c r="A149" s="46">
        <v>69</v>
      </c>
      <c r="B149" s="45" t="s">
        <v>64</v>
      </c>
      <c r="C149" s="46"/>
      <c r="D149" s="51"/>
      <c r="E149" s="51"/>
      <c r="F149" s="51"/>
      <c r="G149" s="51"/>
      <c r="H149" s="51"/>
      <c r="I149" s="51"/>
      <c r="J149" s="51">
        <v>60</v>
      </c>
      <c r="K149" s="51"/>
      <c r="L149" s="51"/>
      <c r="M149" s="51"/>
      <c r="N149" s="51"/>
      <c r="O149" s="52"/>
      <c r="P149" s="44"/>
      <c r="Q149" s="52"/>
      <c r="R149" s="44"/>
      <c r="S149" s="52"/>
      <c r="T149" s="44"/>
      <c r="U149" s="52"/>
      <c r="V149" s="46"/>
      <c r="W149" s="44"/>
      <c r="X149" s="52"/>
      <c r="Y149" s="46"/>
      <c r="Z149" s="44"/>
      <c r="AA149" s="52"/>
      <c r="AB149" s="44"/>
      <c r="AC149" s="46"/>
      <c r="AD149" s="52"/>
      <c r="AE149" s="44"/>
      <c r="AF149" s="51"/>
    </row>
    <row r="150" spans="1:32" ht="93.75" thickBot="1">
      <c r="A150" s="44">
        <v>47</v>
      </c>
      <c r="B150" s="45" t="s">
        <v>139</v>
      </c>
      <c r="C150" s="46"/>
      <c r="D150" s="51"/>
      <c r="E150" s="51"/>
      <c r="F150" s="51"/>
      <c r="G150" s="51">
        <v>21</v>
      </c>
      <c r="H150" s="51"/>
      <c r="I150" s="51">
        <v>50</v>
      </c>
      <c r="J150" s="51">
        <v>28</v>
      </c>
      <c r="K150" s="51"/>
      <c r="L150" s="51"/>
      <c r="M150" s="51"/>
      <c r="N150" s="51"/>
      <c r="O150" s="52"/>
      <c r="P150" s="44"/>
      <c r="Q150" s="52">
        <v>4</v>
      </c>
      <c r="R150" s="44"/>
      <c r="S150" s="52"/>
      <c r="T150" s="44"/>
      <c r="U150" s="52"/>
      <c r="V150" s="44"/>
      <c r="W150" s="44"/>
      <c r="X150" s="51">
        <v>32</v>
      </c>
      <c r="Y150" s="44"/>
      <c r="Z150" s="44"/>
      <c r="AA150" s="52"/>
      <c r="AB150" s="44"/>
      <c r="AC150" s="44"/>
      <c r="AD150" s="52"/>
      <c r="AE150" s="44"/>
      <c r="AF150" s="51"/>
    </row>
    <row r="151" spans="1:32" ht="47.25" thickBot="1">
      <c r="A151" s="44">
        <v>71</v>
      </c>
      <c r="B151" s="45" t="s">
        <v>92</v>
      </c>
      <c r="C151" s="46"/>
      <c r="D151" s="51"/>
      <c r="E151" s="51"/>
      <c r="F151" s="51"/>
      <c r="G151" s="51">
        <v>4</v>
      </c>
      <c r="H151" s="51"/>
      <c r="I151" s="51"/>
      <c r="J151" s="51">
        <v>46</v>
      </c>
      <c r="K151" s="51"/>
      <c r="L151" s="51"/>
      <c r="M151" s="51"/>
      <c r="N151" s="51"/>
      <c r="O151" s="52"/>
      <c r="P151" s="44"/>
      <c r="Q151" s="52"/>
      <c r="R151" s="44">
        <v>4</v>
      </c>
      <c r="S151" s="52">
        <v>4</v>
      </c>
      <c r="T151" s="44"/>
      <c r="U151" s="52"/>
      <c r="V151" s="44"/>
      <c r="W151" s="44">
        <v>28</v>
      </c>
      <c r="X151" s="52"/>
      <c r="Y151" s="44"/>
      <c r="Z151" s="44"/>
      <c r="AA151" s="52"/>
      <c r="AB151" s="44"/>
      <c r="AC151" s="44"/>
      <c r="AD151" s="52"/>
      <c r="AE151" s="44"/>
      <c r="AF151" s="51"/>
    </row>
    <row r="152" spans="1:32" ht="47.25" thickBot="1">
      <c r="A152" s="44">
        <v>7</v>
      </c>
      <c r="B152" s="45" t="s">
        <v>177</v>
      </c>
      <c r="C152" s="46"/>
      <c r="D152" s="51"/>
      <c r="E152" s="51">
        <v>3</v>
      </c>
      <c r="F152" s="51"/>
      <c r="G152" s="51"/>
      <c r="H152" s="51"/>
      <c r="I152" s="51"/>
      <c r="J152" s="51">
        <v>15</v>
      </c>
      <c r="K152" s="51"/>
      <c r="L152" s="51"/>
      <c r="M152" s="51"/>
      <c r="N152" s="51"/>
      <c r="O152" s="52"/>
      <c r="P152" s="44"/>
      <c r="Q152" s="52">
        <v>2</v>
      </c>
      <c r="R152" s="44"/>
      <c r="S152" s="52"/>
      <c r="T152" s="44"/>
      <c r="U152" s="44"/>
      <c r="V152" s="52"/>
      <c r="W152" s="44"/>
      <c r="X152" s="52"/>
      <c r="Y152" s="44"/>
      <c r="Z152" s="44"/>
      <c r="AA152" s="52"/>
      <c r="AB152" s="44"/>
      <c r="AC152" s="52"/>
      <c r="AD152" s="44"/>
      <c r="AE152" s="44"/>
      <c r="AF152" s="51"/>
    </row>
    <row r="153" spans="1:32" ht="47.25" thickBot="1">
      <c r="A153" s="46">
        <v>8</v>
      </c>
      <c r="B153" s="45" t="s">
        <v>55</v>
      </c>
      <c r="C153" s="46"/>
      <c r="D153" s="51"/>
      <c r="E153" s="51"/>
      <c r="F153" s="51"/>
      <c r="G153" s="51"/>
      <c r="H153" s="51"/>
      <c r="I153" s="51">
        <v>128</v>
      </c>
      <c r="J153" s="51"/>
      <c r="K153" s="51"/>
      <c r="L153" s="51"/>
      <c r="M153" s="51"/>
      <c r="N153" s="51"/>
      <c r="O153" s="52"/>
      <c r="P153" s="44"/>
      <c r="Q153" s="52">
        <v>5</v>
      </c>
      <c r="R153" s="44"/>
      <c r="S153" s="52"/>
      <c r="T153" s="44">
        <v>24</v>
      </c>
      <c r="U153" s="66"/>
      <c r="V153" s="44"/>
      <c r="W153" s="44"/>
      <c r="X153" s="52"/>
      <c r="Y153" s="44"/>
      <c r="Z153" s="44"/>
      <c r="AA153" s="52"/>
      <c r="AB153" s="44"/>
      <c r="AC153" s="52"/>
      <c r="AD153" s="44"/>
      <c r="AE153" s="44"/>
      <c r="AF153" s="51"/>
    </row>
    <row r="154" spans="1:32" ht="93.75" thickBot="1">
      <c r="A154" s="44" t="s">
        <v>241</v>
      </c>
      <c r="B154" s="45" t="s">
        <v>242</v>
      </c>
      <c r="C154" s="46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>
        <v>22</v>
      </c>
      <c r="O154" s="52"/>
      <c r="P154" s="44">
        <v>15</v>
      </c>
      <c r="Q154" s="52"/>
      <c r="R154" s="44"/>
      <c r="S154" s="52"/>
      <c r="T154" s="44"/>
      <c r="U154" s="44"/>
      <c r="V154" s="52"/>
      <c r="W154" s="44"/>
      <c r="X154" s="52"/>
      <c r="Y154" s="44"/>
      <c r="Z154" s="44"/>
      <c r="AA154" s="52"/>
      <c r="AB154" s="44"/>
      <c r="AC154" s="52"/>
      <c r="AD154" s="44"/>
      <c r="AE154" s="44"/>
      <c r="AF154" s="51"/>
    </row>
    <row r="155" spans="1:32" ht="47.25" thickBot="1">
      <c r="A155" s="44" t="s">
        <v>45</v>
      </c>
      <c r="B155" s="45" t="s">
        <v>114</v>
      </c>
      <c r="C155" s="51">
        <v>35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</row>
    <row r="156" spans="1:32" s="97" customFormat="1" ht="47.25" thickBot="1">
      <c r="A156" s="44" t="s">
        <v>45</v>
      </c>
      <c r="B156" s="45" t="s">
        <v>144</v>
      </c>
      <c r="C156" s="46"/>
      <c r="D156" s="51">
        <v>45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</row>
    <row r="157" spans="1:32" ht="47.25" thickBot="1">
      <c r="A157" s="44"/>
      <c r="B157" s="45" t="s">
        <v>8</v>
      </c>
      <c r="C157" s="46">
        <f>SUM(C149:C156)</f>
        <v>35</v>
      </c>
      <c r="D157" s="46">
        <f aca="true" t="shared" si="31" ref="D157:V157">SUM(D149:D156)</f>
        <v>45</v>
      </c>
      <c r="E157" s="46">
        <f t="shared" si="31"/>
        <v>3</v>
      </c>
      <c r="F157" s="46">
        <f t="shared" si="31"/>
        <v>0</v>
      </c>
      <c r="G157" s="46">
        <f t="shared" si="31"/>
        <v>25</v>
      </c>
      <c r="H157" s="46">
        <f t="shared" si="31"/>
        <v>0</v>
      </c>
      <c r="I157" s="46">
        <f t="shared" si="31"/>
        <v>178</v>
      </c>
      <c r="J157" s="46">
        <f t="shared" si="31"/>
        <v>149</v>
      </c>
      <c r="K157" s="46">
        <f t="shared" si="31"/>
        <v>0</v>
      </c>
      <c r="L157" s="46">
        <f t="shared" si="31"/>
        <v>0</v>
      </c>
      <c r="M157" s="46">
        <f t="shared" si="31"/>
        <v>0</v>
      </c>
      <c r="N157" s="46">
        <f t="shared" si="31"/>
        <v>22</v>
      </c>
      <c r="O157" s="46">
        <f t="shared" si="31"/>
        <v>0</v>
      </c>
      <c r="P157" s="46">
        <f t="shared" si="31"/>
        <v>15</v>
      </c>
      <c r="Q157" s="46">
        <f t="shared" si="31"/>
        <v>11</v>
      </c>
      <c r="R157" s="46">
        <f t="shared" si="31"/>
        <v>4</v>
      </c>
      <c r="S157" s="46">
        <f t="shared" si="31"/>
        <v>4</v>
      </c>
      <c r="T157" s="46">
        <f t="shared" si="31"/>
        <v>24</v>
      </c>
      <c r="U157" s="46">
        <f t="shared" si="31"/>
        <v>0</v>
      </c>
      <c r="V157" s="46">
        <f t="shared" si="31"/>
        <v>0</v>
      </c>
      <c r="W157" s="46">
        <f aca="true" t="shared" si="32" ref="W157:AF157">SUM(W149:W156)</f>
        <v>28</v>
      </c>
      <c r="X157" s="46">
        <f t="shared" si="32"/>
        <v>32</v>
      </c>
      <c r="Y157" s="46">
        <f t="shared" si="32"/>
        <v>0</v>
      </c>
      <c r="Z157" s="46">
        <f t="shared" si="32"/>
        <v>0</v>
      </c>
      <c r="AA157" s="46">
        <f t="shared" si="32"/>
        <v>0</v>
      </c>
      <c r="AB157" s="46">
        <f t="shared" si="32"/>
        <v>0</v>
      </c>
      <c r="AC157" s="46">
        <f t="shared" si="32"/>
        <v>0</v>
      </c>
      <c r="AD157" s="46">
        <f t="shared" si="32"/>
        <v>0</v>
      </c>
      <c r="AE157" s="46">
        <f t="shared" si="32"/>
        <v>0</v>
      </c>
      <c r="AF157" s="46">
        <f t="shared" si="32"/>
        <v>0</v>
      </c>
    </row>
    <row r="158" spans="1:32" ht="46.5" customHeight="1" thickBot="1">
      <c r="A158" s="156" t="s">
        <v>207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57"/>
    </row>
    <row r="159" spans="1:32" ht="47.25" thickBot="1">
      <c r="A159" s="44">
        <v>14</v>
      </c>
      <c r="B159" s="45" t="s">
        <v>224</v>
      </c>
      <c r="C159" s="46"/>
      <c r="D159" s="51"/>
      <c r="E159" s="51"/>
      <c r="F159" s="51"/>
      <c r="G159" s="51">
        <v>23</v>
      </c>
      <c r="H159" s="51"/>
      <c r="I159" s="51"/>
      <c r="J159" s="51"/>
      <c r="K159" s="51"/>
      <c r="L159" s="51"/>
      <c r="M159" s="51"/>
      <c r="N159" s="51"/>
      <c r="O159" s="44"/>
      <c r="P159" s="52">
        <v>5</v>
      </c>
      <c r="Q159" s="44">
        <v>3</v>
      </c>
      <c r="R159" s="52"/>
      <c r="S159" s="44"/>
      <c r="T159" s="52">
        <v>150</v>
      </c>
      <c r="U159" s="44"/>
      <c r="V159" s="52"/>
      <c r="W159" s="46"/>
      <c r="X159" s="52"/>
      <c r="Y159" s="44"/>
      <c r="Z159" s="52"/>
      <c r="AA159" s="44"/>
      <c r="AB159" s="52"/>
      <c r="AC159" s="46"/>
      <c r="AD159" s="44"/>
      <c r="AE159" s="44"/>
      <c r="AF159" s="51"/>
    </row>
    <row r="160" spans="1:32" ht="47.25" thickBot="1">
      <c r="A160" s="46">
        <v>13</v>
      </c>
      <c r="B160" s="50" t="s">
        <v>9</v>
      </c>
      <c r="C160" s="46"/>
      <c r="D160" s="57"/>
      <c r="E160" s="57"/>
      <c r="F160" s="57"/>
      <c r="G160" s="57"/>
      <c r="H160" s="51"/>
      <c r="I160" s="51"/>
      <c r="J160" s="51"/>
      <c r="K160" s="51"/>
      <c r="L160" s="51"/>
      <c r="M160" s="51"/>
      <c r="N160" s="51"/>
      <c r="O160" s="52"/>
      <c r="P160" s="46">
        <v>12</v>
      </c>
      <c r="Q160" s="52"/>
      <c r="R160" s="46"/>
      <c r="S160" s="52"/>
      <c r="T160" s="46"/>
      <c r="U160" s="46"/>
      <c r="V160" s="52"/>
      <c r="W160" s="46"/>
      <c r="X160" s="52"/>
      <c r="Y160" s="46"/>
      <c r="Z160" s="46"/>
      <c r="AA160" s="52"/>
      <c r="AB160" s="46">
        <v>0.6</v>
      </c>
      <c r="AC160" s="46"/>
      <c r="AD160" s="52"/>
      <c r="AE160" s="46"/>
      <c r="AF160" s="51"/>
    </row>
    <row r="161" spans="1:32" ht="47.25" thickBot="1">
      <c r="A161" s="44" t="s">
        <v>45</v>
      </c>
      <c r="B161" s="45" t="s">
        <v>114</v>
      </c>
      <c r="C161" s="51">
        <v>30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</row>
    <row r="162" spans="1:32" ht="47.25" thickBot="1">
      <c r="A162" s="44">
        <v>21</v>
      </c>
      <c r="B162" s="73" t="s">
        <v>38</v>
      </c>
      <c r="C162" s="44"/>
      <c r="D162" s="51"/>
      <c r="E162" s="44"/>
      <c r="F162" s="44"/>
      <c r="G162" s="44"/>
      <c r="H162" s="51"/>
      <c r="I162" s="51"/>
      <c r="J162" s="51"/>
      <c r="K162" s="51"/>
      <c r="L162" s="51"/>
      <c r="M162" s="51"/>
      <c r="N162" s="51"/>
      <c r="O162" s="52"/>
      <c r="P162" s="46"/>
      <c r="Q162" s="52"/>
      <c r="R162" s="46"/>
      <c r="S162" s="52"/>
      <c r="T162" s="46">
        <v>154</v>
      </c>
      <c r="U162" s="52"/>
      <c r="V162" s="46"/>
      <c r="W162" s="46"/>
      <c r="X162" s="52"/>
      <c r="Y162" s="46"/>
      <c r="Z162" s="46"/>
      <c r="AA162" s="52"/>
      <c r="AB162" s="46"/>
      <c r="AC162" s="52"/>
      <c r="AD162" s="46"/>
      <c r="AE162" s="46"/>
      <c r="AF162" s="51"/>
    </row>
    <row r="163" spans="1:32" ht="47.25" thickBot="1">
      <c r="A163" s="44">
        <v>72</v>
      </c>
      <c r="B163" s="45" t="s">
        <v>138</v>
      </c>
      <c r="C163" s="46"/>
      <c r="D163" s="57"/>
      <c r="E163" s="57">
        <v>46.5</v>
      </c>
      <c r="F163" s="57"/>
      <c r="G163" s="57"/>
      <c r="H163" s="51"/>
      <c r="I163" s="51"/>
      <c r="J163" s="51"/>
      <c r="K163" s="51"/>
      <c r="L163" s="51"/>
      <c r="M163" s="51"/>
      <c r="N163" s="51"/>
      <c r="O163" s="51">
        <v>16.3</v>
      </c>
      <c r="P163" s="51">
        <v>2</v>
      </c>
      <c r="Q163" s="51">
        <v>2</v>
      </c>
      <c r="R163" s="51">
        <v>1</v>
      </c>
      <c r="S163" s="51">
        <v>3</v>
      </c>
      <c r="T163" s="51">
        <v>18</v>
      </c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92">
        <v>1.2</v>
      </c>
    </row>
    <row r="164" spans="1:32" ht="47.25" thickBot="1">
      <c r="A164" s="44"/>
      <c r="B164" s="45" t="s">
        <v>8</v>
      </c>
      <c r="C164" s="46">
        <f>SUM(C159:C163)</f>
        <v>30</v>
      </c>
      <c r="D164" s="46">
        <f aca="true" t="shared" si="33" ref="D164:AE164">SUM(D159:D163)</f>
        <v>0</v>
      </c>
      <c r="E164" s="46">
        <f t="shared" si="33"/>
        <v>46.5</v>
      </c>
      <c r="F164" s="46">
        <f t="shared" si="33"/>
        <v>0</v>
      </c>
      <c r="G164" s="46">
        <f t="shared" si="33"/>
        <v>23</v>
      </c>
      <c r="H164" s="46">
        <f t="shared" si="33"/>
        <v>0</v>
      </c>
      <c r="I164" s="46">
        <f t="shared" si="33"/>
        <v>0</v>
      </c>
      <c r="J164" s="46">
        <f t="shared" si="33"/>
        <v>0</v>
      </c>
      <c r="K164" s="46">
        <f t="shared" si="33"/>
        <v>0</v>
      </c>
      <c r="L164" s="46">
        <f t="shared" si="33"/>
        <v>0</v>
      </c>
      <c r="M164" s="46">
        <f t="shared" si="33"/>
        <v>0</v>
      </c>
      <c r="N164" s="46">
        <f t="shared" si="33"/>
        <v>0</v>
      </c>
      <c r="O164" s="46">
        <f t="shared" si="33"/>
        <v>16.3</v>
      </c>
      <c r="P164" s="46">
        <f t="shared" si="33"/>
        <v>19</v>
      </c>
      <c r="Q164" s="46">
        <f t="shared" si="33"/>
        <v>5</v>
      </c>
      <c r="R164" s="46">
        <f t="shared" si="33"/>
        <v>1</v>
      </c>
      <c r="S164" s="46">
        <f t="shared" si="33"/>
        <v>3</v>
      </c>
      <c r="T164" s="46">
        <f t="shared" si="33"/>
        <v>322</v>
      </c>
      <c r="U164" s="46">
        <f t="shared" si="33"/>
        <v>0</v>
      </c>
      <c r="V164" s="46">
        <f t="shared" si="33"/>
        <v>0</v>
      </c>
      <c r="W164" s="46">
        <f t="shared" si="33"/>
        <v>0</v>
      </c>
      <c r="X164" s="46">
        <f t="shared" si="33"/>
        <v>0</v>
      </c>
      <c r="Y164" s="46">
        <f t="shared" si="33"/>
        <v>0</v>
      </c>
      <c r="Z164" s="46">
        <f t="shared" si="33"/>
        <v>0</v>
      </c>
      <c r="AA164" s="46">
        <f t="shared" si="33"/>
        <v>0</v>
      </c>
      <c r="AB164" s="46">
        <f t="shared" si="33"/>
        <v>0.6</v>
      </c>
      <c r="AC164" s="46">
        <f t="shared" si="33"/>
        <v>0</v>
      </c>
      <c r="AD164" s="46">
        <f t="shared" si="33"/>
        <v>0</v>
      </c>
      <c r="AE164" s="46">
        <f t="shared" si="33"/>
        <v>0</v>
      </c>
      <c r="AF164" s="46">
        <f>SUM(AF159:AF163)</f>
        <v>1.2</v>
      </c>
    </row>
    <row r="165" spans="1:32" ht="93.75" thickBot="1">
      <c r="A165" s="95"/>
      <c r="B165" s="45" t="s">
        <v>145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>
        <v>6</v>
      </c>
      <c r="AF165" s="46"/>
    </row>
    <row r="166" spans="1:32" ht="47.25" thickBot="1">
      <c r="A166" s="44"/>
      <c r="B166" s="74" t="s">
        <v>12</v>
      </c>
      <c r="C166" s="46">
        <f>SUM(C143+C147+C157+C164)</f>
        <v>95</v>
      </c>
      <c r="D166" s="46">
        <f aca="true" t="shared" si="34" ref="D166:AF166">SUM(D143+D147+D157+D164)</f>
        <v>45</v>
      </c>
      <c r="E166" s="46">
        <f t="shared" si="34"/>
        <v>49.5</v>
      </c>
      <c r="F166" s="46">
        <f t="shared" si="34"/>
        <v>0</v>
      </c>
      <c r="G166" s="46">
        <f t="shared" si="34"/>
        <v>48</v>
      </c>
      <c r="H166" s="46">
        <f t="shared" si="34"/>
        <v>0</v>
      </c>
      <c r="I166" s="46">
        <f t="shared" si="34"/>
        <v>178</v>
      </c>
      <c r="J166" s="46">
        <f t="shared" si="34"/>
        <v>149</v>
      </c>
      <c r="K166" s="46">
        <f t="shared" si="34"/>
        <v>90</v>
      </c>
      <c r="L166" s="46">
        <f t="shared" si="34"/>
        <v>0</v>
      </c>
      <c r="M166" s="46">
        <f t="shared" si="34"/>
        <v>110</v>
      </c>
      <c r="N166" s="46">
        <f t="shared" si="34"/>
        <v>22</v>
      </c>
      <c r="O166" s="46">
        <f t="shared" si="34"/>
        <v>16.3</v>
      </c>
      <c r="P166" s="46">
        <f t="shared" si="34"/>
        <v>46</v>
      </c>
      <c r="Q166" s="46">
        <f t="shared" si="34"/>
        <v>26</v>
      </c>
      <c r="R166" s="46">
        <f t="shared" si="34"/>
        <v>5</v>
      </c>
      <c r="S166" s="46">
        <f t="shared" si="34"/>
        <v>69</v>
      </c>
      <c r="T166" s="46">
        <f t="shared" si="34"/>
        <v>468</v>
      </c>
      <c r="U166" s="46">
        <f t="shared" si="34"/>
        <v>0</v>
      </c>
      <c r="V166" s="46">
        <f t="shared" si="34"/>
        <v>0</v>
      </c>
      <c r="W166" s="46">
        <f t="shared" si="34"/>
        <v>28</v>
      </c>
      <c r="X166" s="46">
        <f t="shared" si="34"/>
        <v>32</v>
      </c>
      <c r="Y166" s="46">
        <f t="shared" si="34"/>
        <v>0</v>
      </c>
      <c r="Z166" s="46">
        <f t="shared" si="34"/>
        <v>0</v>
      </c>
      <c r="AA166" s="46">
        <f t="shared" si="34"/>
        <v>14.9</v>
      </c>
      <c r="AB166" s="46">
        <f t="shared" si="34"/>
        <v>0.6</v>
      </c>
      <c r="AC166" s="46">
        <f t="shared" si="34"/>
        <v>2.4</v>
      </c>
      <c r="AD166" s="46">
        <f t="shared" si="34"/>
        <v>0</v>
      </c>
      <c r="AE166" s="46">
        <v>6</v>
      </c>
      <c r="AF166" s="46">
        <f t="shared" si="34"/>
        <v>1.2</v>
      </c>
    </row>
    <row r="167" spans="1:32" ht="47.25" thickBot="1">
      <c r="A167" s="165" t="s">
        <v>65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7"/>
    </row>
    <row r="168" spans="1:32" ht="47.25" thickBot="1">
      <c r="A168" s="165" t="s">
        <v>20</v>
      </c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7"/>
    </row>
    <row r="169" spans="1:32" ht="45.75" customHeight="1">
      <c r="A169" s="168" t="s">
        <v>39</v>
      </c>
      <c r="B169" s="170" t="s">
        <v>26</v>
      </c>
      <c r="C169" s="154" t="s">
        <v>114</v>
      </c>
      <c r="D169" s="154" t="s">
        <v>115</v>
      </c>
      <c r="E169" s="154" t="s">
        <v>116</v>
      </c>
      <c r="F169" s="154" t="s">
        <v>117</v>
      </c>
      <c r="G169" s="154" t="s">
        <v>109</v>
      </c>
      <c r="H169" s="154" t="s">
        <v>118</v>
      </c>
      <c r="I169" s="154" t="s">
        <v>246</v>
      </c>
      <c r="J169" s="154" t="s">
        <v>247</v>
      </c>
      <c r="K169" s="90"/>
      <c r="L169" s="90"/>
      <c r="M169" s="154" t="s">
        <v>217</v>
      </c>
      <c r="N169" s="154" t="s">
        <v>121</v>
      </c>
      <c r="O169" s="154" t="s">
        <v>81</v>
      </c>
      <c r="P169" s="154" t="s">
        <v>82</v>
      </c>
      <c r="Q169" s="154" t="s">
        <v>122</v>
      </c>
      <c r="R169" s="154" t="s">
        <v>83</v>
      </c>
      <c r="S169" s="154" t="s">
        <v>123</v>
      </c>
      <c r="T169" s="154" t="s">
        <v>126</v>
      </c>
      <c r="U169" s="154" t="s">
        <v>143</v>
      </c>
      <c r="V169" s="90"/>
      <c r="W169" s="154" t="s">
        <v>248</v>
      </c>
      <c r="X169" s="154" t="s">
        <v>249</v>
      </c>
      <c r="Y169" s="154" t="s">
        <v>250</v>
      </c>
      <c r="Z169" s="154" t="s">
        <v>84</v>
      </c>
      <c r="AA169" s="154" t="s">
        <v>85</v>
      </c>
      <c r="AB169" s="154" t="s">
        <v>89</v>
      </c>
      <c r="AC169" s="90"/>
      <c r="AD169" s="154" t="s">
        <v>124</v>
      </c>
      <c r="AE169" s="154" t="s">
        <v>86</v>
      </c>
      <c r="AF169" s="154" t="s">
        <v>125</v>
      </c>
    </row>
    <row r="170" spans="1:32" ht="397.5" customHeight="1" thickBot="1">
      <c r="A170" s="169"/>
      <c r="B170" s="171"/>
      <c r="C170" s="155"/>
      <c r="D170" s="155"/>
      <c r="E170" s="155"/>
      <c r="F170" s="155"/>
      <c r="G170" s="155"/>
      <c r="H170" s="155"/>
      <c r="I170" s="155"/>
      <c r="J170" s="155"/>
      <c r="K170" s="91" t="s">
        <v>119</v>
      </c>
      <c r="L170" s="91" t="s">
        <v>120</v>
      </c>
      <c r="M170" s="155"/>
      <c r="N170" s="155"/>
      <c r="O170" s="155"/>
      <c r="P170" s="155"/>
      <c r="Q170" s="155"/>
      <c r="R170" s="155"/>
      <c r="S170" s="155"/>
      <c r="T170" s="155"/>
      <c r="U170" s="155"/>
      <c r="V170" s="91" t="s">
        <v>111</v>
      </c>
      <c r="W170" s="155"/>
      <c r="X170" s="155"/>
      <c r="Y170" s="155"/>
      <c r="Z170" s="155"/>
      <c r="AA170" s="155"/>
      <c r="AB170" s="155"/>
      <c r="AC170" s="91" t="s">
        <v>110</v>
      </c>
      <c r="AD170" s="155"/>
      <c r="AE170" s="155"/>
      <c r="AF170" s="155"/>
    </row>
    <row r="171" spans="1:32" ht="47.25" thickBot="1">
      <c r="A171" s="95">
        <v>1</v>
      </c>
      <c r="B171" s="68">
        <v>2</v>
      </c>
      <c r="C171" s="69" t="s">
        <v>112</v>
      </c>
      <c r="D171" s="70">
        <v>4</v>
      </c>
      <c r="E171" s="69">
        <v>5</v>
      </c>
      <c r="F171" s="69">
        <v>6</v>
      </c>
      <c r="G171" s="69">
        <v>7</v>
      </c>
      <c r="H171" s="69">
        <v>8</v>
      </c>
      <c r="I171" s="69" t="s">
        <v>113</v>
      </c>
      <c r="J171" s="70">
        <v>10</v>
      </c>
      <c r="K171" s="69">
        <v>11</v>
      </c>
      <c r="L171" s="85">
        <v>12</v>
      </c>
      <c r="M171" s="69">
        <v>13</v>
      </c>
      <c r="N171" s="69">
        <v>14</v>
      </c>
      <c r="O171" s="69">
        <v>15</v>
      </c>
      <c r="P171" s="69">
        <v>16</v>
      </c>
      <c r="Q171" s="94">
        <v>17</v>
      </c>
      <c r="R171" s="69">
        <v>18</v>
      </c>
      <c r="S171" s="94">
        <v>19</v>
      </c>
      <c r="T171" s="69">
        <v>20</v>
      </c>
      <c r="U171" s="94">
        <v>21</v>
      </c>
      <c r="V171" s="94">
        <v>22</v>
      </c>
      <c r="W171" s="69">
        <v>23</v>
      </c>
      <c r="X171" s="69">
        <v>24</v>
      </c>
      <c r="Y171" s="94">
        <v>25</v>
      </c>
      <c r="Z171" s="69">
        <v>26</v>
      </c>
      <c r="AA171" s="69">
        <v>27</v>
      </c>
      <c r="AB171" s="69">
        <v>28</v>
      </c>
      <c r="AC171" s="94">
        <v>29</v>
      </c>
      <c r="AD171" s="69">
        <v>30</v>
      </c>
      <c r="AE171" s="69">
        <v>31</v>
      </c>
      <c r="AF171" s="92">
        <v>32</v>
      </c>
    </row>
    <row r="172" spans="1:32" ht="47.25" thickBot="1">
      <c r="A172" s="165" t="s">
        <v>7</v>
      </c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7"/>
    </row>
    <row r="173" spans="1:32" ht="47.25" thickBot="1">
      <c r="A173" s="46">
        <v>68</v>
      </c>
      <c r="B173" s="48" t="s">
        <v>50</v>
      </c>
      <c r="C173" s="46"/>
      <c r="D173" s="57"/>
      <c r="E173" s="57"/>
      <c r="F173" s="57"/>
      <c r="G173" s="57">
        <v>20</v>
      </c>
      <c r="H173" s="51"/>
      <c r="I173" s="51"/>
      <c r="J173" s="51"/>
      <c r="K173" s="51"/>
      <c r="L173" s="51"/>
      <c r="M173" s="51"/>
      <c r="N173" s="51"/>
      <c r="O173" s="52"/>
      <c r="P173" s="46">
        <v>5</v>
      </c>
      <c r="Q173" s="52">
        <v>3</v>
      </c>
      <c r="R173" s="46"/>
      <c r="S173" s="52"/>
      <c r="T173" s="46">
        <v>150</v>
      </c>
      <c r="U173" s="52"/>
      <c r="V173" s="46"/>
      <c r="W173" s="46"/>
      <c r="X173" s="46"/>
      <c r="Y173" s="52"/>
      <c r="Z173" s="46"/>
      <c r="AA173" s="46"/>
      <c r="AB173" s="46"/>
      <c r="AC173" s="52"/>
      <c r="AD173" s="46"/>
      <c r="AE173" s="52"/>
      <c r="AF173" s="46"/>
    </row>
    <row r="174" spans="1:32" ht="47.25" thickBot="1">
      <c r="A174" s="46">
        <v>13</v>
      </c>
      <c r="B174" s="50" t="s">
        <v>9</v>
      </c>
      <c r="C174" s="46"/>
      <c r="D174" s="57"/>
      <c r="E174" s="57"/>
      <c r="F174" s="57"/>
      <c r="G174" s="57"/>
      <c r="H174" s="51"/>
      <c r="I174" s="51"/>
      <c r="J174" s="51"/>
      <c r="K174" s="51"/>
      <c r="L174" s="51"/>
      <c r="M174" s="51"/>
      <c r="N174" s="51"/>
      <c r="O174" s="52"/>
      <c r="P174" s="46">
        <v>12</v>
      </c>
      <c r="Q174" s="52"/>
      <c r="R174" s="46"/>
      <c r="S174" s="52"/>
      <c r="T174" s="46"/>
      <c r="U174" s="46"/>
      <c r="V174" s="52"/>
      <c r="W174" s="46"/>
      <c r="X174" s="52"/>
      <c r="Y174" s="46"/>
      <c r="Z174" s="46"/>
      <c r="AA174" s="52"/>
      <c r="AB174" s="46">
        <v>0.6</v>
      </c>
      <c r="AC174" s="46"/>
      <c r="AD174" s="52"/>
      <c r="AE174" s="46"/>
      <c r="AF174" s="51"/>
    </row>
    <row r="175" spans="1:32" ht="47.25" thickBot="1">
      <c r="A175" s="44">
        <v>16</v>
      </c>
      <c r="B175" s="45" t="s">
        <v>54</v>
      </c>
      <c r="C175" s="51">
        <v>30</v>
      </c>
      <c r="D175" s="57"/>
      <c r="E175" s="57"/>
      <c r="F175" s="57"/>
      <c r="G175" s="57"/>
      <c r="H175" s="51"/>
      <c r="I175" s="51"/>
      <c r="J175" s="51"/>
      <c r="K175" s="51"/>
      <c r="L175" s="51"/>
      <c r="M175" s="51"/>
      <c r="N175" s="51"/>
      <c r="O175" s="52"/>
      <c r="P175" s="46"/>
      <c r="Q175" s="52">
        <v>5</v>
      </c>
      <c r="R175" s="46"/>
      <c r="S175" s="52"/>
      <c r="T175" s="46"/>
      <c r="U175" s="52"/>
      <c r="V175" s="44"/>
      <c r="W175" s="46"/>
      <c r="X175" s="44"/>
      <c r="Y175" s="52"/>
      <c r="Z175" s="46"/>
      <c r="AA175" s="46"/>
      <c r="AB175" s="52"/>
      <c r="AC175" s="44"/>
      <c r="AD175" s="46"/>
      <c r="AE175" s="52"/>
      <c r="AF175" s="46"/>
    </row>
    <row r="176" spans="1:32" ht="47.25" thickBot="1">
      <c r="A176" s="44"/>
      <c r="B176" s="45" t="s">
        <v>8</v>
      </c>
      <c r="C176" s="44">
        <f>SUM(C173:C175)</f>
        <v>30</v>
      </c>
      <c r="D176" s="44">
        <f aca="true" t="shared" si="35" ref="D176:AF176">SUM(D173:D175)</f>
        <v>0</v>
      </c>
      <c r="E176" s="44">
        <f t="shared" si="35"/>
        <v>0</v>
      </c>
      <c r="F176" s="44">
        <f t="shared" si="35"/>
        <v>0</v>
      </c>
      <c r="G176" s="44">
        <f t="shared" si="35"/>
        <v>20</v>
      </c>
      <c r="H176" s="44">
        <f t="shared" si="35"/>
        <v>0</v>
      </c>
      <c r="I176" s="44">
        <f t="shared" si="35"/>
        <v>0</v>
      </c>
      <c r="J176" s="44">
        <f t="shared" si="35"/>
        <v>0</v>
      </c>
      <c r="K176" s="44">
        <f t="shared" si="35"/>
        <v>0</v>
      </c>
      <c r="L176" s="44">
        <f t="shared" si="35"/>
        <v>0</v>
      </c>
      <c r="M176" s="44">
        <f t="shared" si="35"/>
        <v>0</v>
      </c>
      <c r="N176" s="44">
        <f t="shared" si="35"/>
        <v>0</v>
      </c>
      <c r="O176" s="44">
        <f t="shared" si="35"/>
        <v>0</v>
      </c>
      <c r="P176" s="44">
        <f t="shared" si="35"/>
        <v>17</v>
      </c>
      <c r="Q176" s="44">
        <f t="shared" si="35"/>
        <v>8</v>
      </c>
      <c r="R176" s="44">
        <f t="shared" si="35"/>
        <v>0</v>
      </c>
      <c r="S176" s="44">
        <f t="shared" si="35"/>
        <v>0</v>
      </c>
      <c r="T176" s="44">
        <f t="shared" si="35"/>
        <v>150</v>
      </c>
      <c r="U176" s="44">
        <f t="shared" si="35"/>
        <v>0</v>
      </c>
      <c r="V176" s="44">
        <f t="shared" si="35"/>
        <v>0</v>
      </c>
      <c r="W176" s="44">
        <f t="shared" si="35"/>
        <v>0</v>
      </c>
      <c r="X176" s="44">
        <f t="shared" si="35"/>
        <v>0</v>
      </c>
      <c r="Y176" s="44">
        <f t="shared" si="35"/>
        <v>0</v>
      </c>
      <c r="Z176" s="44">
        <f t="shared" si="35"/>
        <v>0</v>
      </c>
      <c r="AA176" s="44">
        <f t="shared" si="35"/>
        <v>0</v>
      </c>
      <c r="AB176" s="44">
        <f t="shared" si="35"/>
        <v>0.6</v>
      </c>
      <c r="AC176" s="44">
        <f t="shared" si="35"/>
        <v>0</v>
      </c>
      <c r="AD176" s="44">
        <f t="shared" si="35"/>
        <v>0</v>
      </c>
      <c r="AE176" s="44">
        <f t="shared" si="35"/>
        <v>0</v>
      </c>
      <c r="AF176" s="44">
        <f t="shared" si="35"/>
        <v>0</v>
      </c>
    </row>
    <row r="177" spans="1:32" ht="47.25" thickBot="1">
      <c r="A177" s="156" t="s">
        <v>107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57"/>
    </row>
    <row r="178" spans="1:32" ht="47.25" thickBot="1">
      <c r="A178" s="44" t="s">
        <v>45</v>
      </c>
      <c r="B178" s="48" t="s">
        <v>108</v>
      </c>
      <c r="C178" s="46"/>
      <c r="D178" s="51"/>
      <c r="E178" s="51"/>
      <c r="F178" s="51"/>
      <c r="G178" s="51"/>
      <c r="H178" s="51"/>
      <c r="I178" s="51"/>
      <c r="J178" s="51"/>
      <c r="K178" s="51">
        <v>90</v>
      </c>
      <c r="L178" s="51"/>
      <c r="M178" s="51"/>
      <c r="N178" s="51"/>
      <c r="O178" s="52"/>
      <c r="P178" s="46"/>
      <c r="Q178" s="52"/>
      <c r="R178" s="46"/>
      <c r="S178" s="52"/>
      <c r="T178" s="46"/>
      <c r="U178" s="52"/>
      <c r="V178" s="46"/>
      <c r="W178" s="46"/>
      <c r="X178" s="52"/>
      <c r="Y178" s="46"/>
      <c r="Z178" s="46"/>
      <c r="AA178" s="52"/>
      <c r="AB178" s="46"/>
      <c r="AC178" s="52"/>
      <c r="AD178" s="46"/>
      <c r="AE178" s="46"/>
      <c r="AF178" s="51"/>
    </row>
    <row r="179" spans="1:32" ht="47.25" thickBot="1">
      <c r="A179" s="44" t="s">
        <v>45</v>
      </c>
      <c r="B179" s="45" t="s">
        <v>41</v>
      </c>
      <c r="C179" s="46"/>
      <c r="D179" s="51"/>
      <c r="E179" s="51"/>
      <c r="F179" s="51"/>
      <c r="G179" s="51"/>
      <c r="H179" s="51"/>
      <c r="I179" s="51"/>
      <c r="J179" s="51"/>
      <c r="K179" s="51"/>
      <c r="L179" s="51"/>
      <c r="M179" s="51">
        <v>110</v>
      </c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7"/>
    </row>
    <row r="180" spans="1:32" ht="47.25" thickBot="1">
      <c r="A180" s="44"/>
      <c r="B180" s="45" t="s">
        <v>37</v>
      </c>
      <c r="C180" s="46">
        <f>SUM(C178:C179)</f>
        <v>0</v>
      </c>
      <c r="D180" s="46">
        <f aca="true" t="shared" si="36" ref="D180:L180">SUM(D178:D179)</f>
        <v>0</v>
      </c>
      <c r="E180" s="46">
        <f t="shared" si="36"/>
        <v>0</v>
      </c>
      <c r="F180" s="46">
        <f t="shared" si="36"/>
        <v>0</v>
      </c>
      <c r="G180" s="46">
        <f t="shared" si="36"/>
        <v>0</v>
      </c>
      <c r="H180" s="46">
        <f t="shared" si="36"/>
        <v>0</v>
      </c>
      <c r="I180" s="46">
        <f t="shared" si="36"/>
        <v>0</v>
      </c>
      <c r="J180" s="46">
        <f t="shared" si="36"/>
        <v>0</v>
      </c>
      <c r="K180" s="46">
        <f t="shared" si="36"/>
        <v>90</v>
      </c>
      <c r="L180" s="46">
        <f t="shared" si="36"/>
        <v>0</v>
      </c>
      <c r="M180" s="46">
        <f>SUM(M178:M179)</f>
        <v>110</v>
      </c>
      <c r="N180" s="51">
        <f aca="true" t="shared" si="37" ref="N180:AE180">SUM(N178)</f>
        <v>0</v>
      </c>
      <c r="O180" s="51">
        <f t="shared" si="37"/>
        <v>0</v>
      </c>
      <c r="P180" s="51">
        <f t="shared" si="37"/>
        <v>0</v>
      </c>
      <c r="Q180" s="51">
        <f t="shared" si="37"/>
        <v>0</v>
      </c>
      <c r="R180" s="51">
        <f t="shared" si="37"/>
        <v>0</v>
      </c>
      <c r="S180" s="51">
        <f t="shared" si="37"/>
        <v>0</v>
      </c>
      <c r="T180" s="51">
        <f t="shared" si="37"/>
        <v>0</v>
      </c>
      <c r="U180" s="51">
        <f t="shared" si="37"/>
        <v>0</v>
      </c>
      <c r="V180" s="51">
        <f t="shared" si="37"/>
        <v>0</v>
      </c>
      <c r="W180" s="51">
        <f t="shared" si="37"/>
        <v>0</v>
      </c>
      <c r="X180" s="51">
        <f t="shared" si="37"/>
        <v>0</v>
      </c>
      <c r="Y180" s="51">
        <f t="shared" si="37"/>
        <v>0</v>
      </c>
      <c r="Z180" s="51">
        <f t="shared" si="37"/>
        <v>0</v>
      </c>
      <c r="AA180" s="51">
        <f t="shared" si="37"/>
        <v>0</v>
      </c>
      <c r="AB180" s="51">
        <f t="shared" si="37"/>
        <v>0</v>
      </c>
      <c r="AC180" s="51">
        <f t="shared" si="37"/>
        <v>0</v>
      </c>
      <c r="AD180" s="51">
        <f t="shared" si="37"/>
        <v>0</v>
      </c>
      <c r="AE180" s="51">
        <f t="shared" si="37"/>
        <v>0</v>
      </c>
      <c r="AF180" s="51">
        <f>SUM(AF178)</f>
        <v>0</v>
      </c>
    </row>
    <row r="181" spans="1:32" ht="47.25" thickBot="1">
      <c r="A181" s="156" t="s">
        <v>40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57"/>
    </row>
    <row r="182" spans="1:32" ht="93.75" thickBot="1">
      <c r="A182" s="46">
        <v>4</v>
      </c>
      <c r="B182" s="47" t="s">
        <v>193</v>
      </c>
      <c r="C182" s="46"/>
      <c r="D182" s="51"/>
      <c r="E182" s="51"/>
      <c r="F182" s="51"/>
      <c r="G182" s="51"/>
      <c r="H182" s="51"/>
      <c r="I182" s="51"/>
      <c r="J182" s="51">
        <v>56</v>
      </c>
      <c r="K182" s="51"/>
      <c r="L182" s="51"/>
      <c r="M182" s="51"/>
      <c r="N182" s="51"/>
      <c r="O182" s="52"/>
      <c r="P182" s="44"/>
      <c r="Q182" s="52"/>
      <c r="R182" s="44">
        <v>5</v>
      </c>
      <c r="S182" s="52"/>
      <c r="T182" s="44"/>
      <c r="U182" s="52"/>
      <c r="V182" s="46"/>
      <c r="W182" s="44"/>
      <c r="X182" s="52"/>
      <c r="Y182" s="46"/>
      <c r="Z182" s="44"/>
      <c r="AA182" s="52"/>
      <c r="AB182" s="44"/>
      <c r="AC182" s="46"/>
      <c r="AD182" s="52"/>
      <c r="AE182" s="44"/>
      <c r="AF182" s="92"/>
    </row>
    <row r="183" spans="1:32" ht="47.25" thickBot="1">
      <c r="A183" s="44">
        <v>18</v>
      </c>
      <c r="B183" s="45" t="s">
        <v>71</v>
      </c>
      <c r="C183" s="46"/>
      <c r="D183" s="57"/>
      <c r="E183" s="57"/>
      <c r="F183" s="57"/>
      <c r="G183" s="57">
        <v>5</v>
      </c>
      <c r="H183" s="51"/>
      <c r="I183" s="51">
        <v>75</v>
      </c>
      <c r="J183" s="51">
        <v>25</v>
      </c>
      <c r="K183" s="51"/>
      <c r="L183" s="51"/>
      <c r="M183" s="51"/>
      <c r="N183" s="51"/>
      <c r="O183" s="52"/>
      <c r="P183" s="46"/>
      <c r="Q183" s="52">
        <v>4</v>
      </c>
      <c r="R183" s="46"/>
      <c r="S183" s="52"/>
      <c r="T183" s="46"/>
      <c r="U183" s="52"/>
      <c r="V183" s="44"/>
      <c r="W183" s="44">
        <v>16</v>
      </c>
      <c r="X183" s="52"/>
      <c r="Y183" s="44"/>
      <c r="Z183" s="46">
        <v>7</v>
      </c>
      <c r="AA183" s="46"/>
      <c r="AB183" s="52"/>
      <c r="AC183" s="44"/>
      <c r="AD183" s="46"/>
      <c r="AE183" s="52"/>
      <c r="AF183" s="46"/>
    </row>
    <row r="184" spans="1:32" ht="47.25" thickBot="1">
      <c r="A184" s="44">
        <v>80</v>
      </c>
      <c r="B184" s="45" t="s">
        <v>199</v>
      </c>
      <c r="C184" s="51">
        <v>10</v>
      </c>
      <c r="D184" s="51"/>
      <c r="E184" s="51">
        <v>6</v>
      </c>
      <c r="F184" s="51"/>
      <c r="G184" s="51"/>
      <c r="H184" s="51"/>
      <c r="I184" s="51"/>
      <c r="J184" s="51">
        <v>5</v>
      </c>
      <c r="K184" s="51"/>
      <c r="L184" s="51"/>
      <c r="M184" s="51"/>
      <c r="N184" s="51"/>
      <c r="O184" s="52"/>
      <c r="P184" s="44"/>
      <c r="Q184" s="52">
        <v>6</v>
      </c>
      <c r="R184" s="44"/>
      <c r="S184" s="52"/>
      <c r="T184" s="44">
        <v>14</v>
      </c>
      <c r="U184" s="44"/>
      <c r="V184" s="52"/>
      <c r="W184" s="44">
        <v>48</v>
      </c>
      <c r="X184" s="52"/>
      <c r="Y184" s="44"/>
      <c r="Z184" s="44"/>
      <c r="AA184" s="52"/>
      <c r="AB184" s="44"/>
      <c r="AC184" s="52"/>
      <c r="AD184" s="44"/>
      <c r="AE184" s="44"/>
      <c r="AF184" s="51"/>
    </row>
    <row r="185" spans="1:32" ht="47.25" thickBot="1">
      <c r="A185" s="44">
        <v>7</v>
      </c>
      <c r="B185" s="45" t="s">
        <v>177</v>
      </c>
      <c r="C185" s="46"/>
      <c r="D185" s="51"/>
      <c r="E185" s="51">
        <v>3</v>
      </c>
      <c r="F185" s="51"/>
      <c r="G185" s="51"/>
      <c r="H185" s="51"/>
      <c r="I185" s="51"/>
      <c r="J185" s="51">
        <v>15</v>
      </c>
      <c r="K185" s="51"/>
      <c r="L185" s="51"/>
      <c r="M185" s="51"/>
      <c r="N185" s="51"/>
      <c r="O185" s="52"/>
      <c r="P185" s="44"/>
      <c r="Q185" s="52">
        <v>2</v>
      </c>
      <c r="R185" s="44"/>
      <c r="S185" s="52"/>
      <c r="T185" s="44"/>
      <c r="U185" s="44"/>
      <c r="V185" s="52"/>
      <c r="W185" s="44"/>
      <c r="X185" s="52"/>
      <c r="Y185" s="44"/>
      <c r="Z185" s="44"/>
      <c r="AA185" s="52"/>
      <c r="AB185" s="44"/>
      <c r="AC185" s="52"/>
      <c r="AD185" s="44"/>
      <c r="AE185" s="44"/>
      <c r="AF185" s="51"/>
    </row>
    <row r="186" spans="1:32" ht="47.25" thickBot="1">
      <c r="A186" s="44">
        <v>30</v>
      </c>
      <c r="B186" s="45" t="s">
        <v>136</v>
      </c>
      <c r="C186" s="46"/>
      <c r="D186" s="51"/>
      <c r="E186" s="51"/>
      <c r="F186" s="51"/>
      <c r="G186" s="51"/>
      <c r="H186" s="51">
        <v>44</v>
      </c>
      <c r="I186" s="51"/>
      <c r="J186" s="51">
        <v>42</v>
      </c>
      <c r="K186" s="51"/>
      <c r="L186" s="51"/>
      <c r="M186" s="51"/>
      <c r="N186" s="51"/>
      <c r="O186" s="51"/>
      <c r="P186" s="51"/>
      <c r="Q186" s="51">
        <v>8</v>
      </c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</row>
    <row r="187" spans="1:32" ht="47.25" thickBot="1">
      <c r="A187" s="44">
        <v>20</v>
      </c>
      <c r="B187" s="45" t="s">
        <v>43</v>
      </c>
      <c r="C187" s="46"/>
      <c r="D187" s="57"/>
      <c r="E187" s="57"/>
      <c r="F187" s="57">
        <v>7.5</v>
      </c>
      <c r="G187" s="57"/>
      <c r="H187" s="51"/>
      <c r="I187" s="51"/>
      <c r="J187" s="51"/>
      <c r="K187" s="51"/>
      <c r="L187" s="51"/>
      <c r="M187" s="51">
        <v>2</v>
      </c>
      <c r="N187" s="51"/>
      <c r="O187" s="52"/>
      <c r="P187" s="46">
        <v>15</v>
      </c>
      <c r="Q187" s="52"/>
      <c r="R187" s="46"/>
      <c r="S187" s="52"/>
      <c r="T187" s="46"/>
      <c r="U187" s="52"/>
      <c r="V187" s="44"/>
      <c r="W187" s="46"/>
      <c r="X187" s="46"/>
      <c r="Y187" s="52"/>
      <c r="Z187" s="46"/>
      <c r="AA187" s="46"/>
      <c r="AB187" s="52"/>
      <c r="AC187" s="44"/>
      <c r="AD187" s="46"/>
      <c r="AE187" s="52"/>
      <c r="AF187" s="46"/>
    </row>
    <row r="188" spans="1:32" ht="47.25" thickBot="1">
      <c r="A188" s="44" t="s">
        <v>45</v>
      </c>
      <c r="B188" s="45" t="s">
        <v>114</v>
      </c>
      <c r="C188" s="51">
        <v>35</v>
      </c>
      <c r="D188" s="51"/>
      <c r="E188" s="51"/>
      <c r="F188" s="51"/>
      <c r="G188" s="51"/>
      <c r="H188" s="51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47.25" thickBot="1">
      <c r="A189" s="44" t="s">
        <v>45</v>
      </c>
      <c r="B189" s="45" t="s">
        <v>144</v>
      </c>
      <c r="C189" s="51"/>
      <c r="D189" s="51">
        <v>45</v>
      </c>
      <c r="E189" s="51"/>
      <c r="F189" s="51"/>
      <c r="G189" s="51"/>
      <c r="H189" s="51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47.25" thickBot="1">
      <c r="A190" s="46"/>
      <c r="B190" s="48" t="s">
        <v>37</v>
      </c>
      <c r="C190" s="46">
        <f aca="true" t="shared" si="38" ref="C190:AF190">SUM(C182:C189)</f>
        <v>45</v>
      </c>
      <c r="D190" s="46">
        <f t="shared" si="38"/>
        <v>45</v>
      </c>
      <c r="E190" s="46">
        <f t="shared" si="38"/>
        <v>9</v>
      </c>
      <c r="F190" s="46">
        <f t="shared" si="38"/>
        <v>7.5</v>
      </c>
      <c r="G190" s="46">
        <f t="shared" si="38"/>
        <v>5</v>
      </c>
      <c r="H190" s="46">
        <f t="shared" si="38"/>
        <v>44</v>
      </c>
      <c r="I190" s="46">
        <f t="shared" si="38"/>
        <v>75</v>
      </c>
      <c r="J190" s="46">
        <f t="shared" si="38"/>
        <v>143</v>
      </c>
      <c r="K190" s="46">
        <f t="shared" si="38"/>
        <v>0</v>
      </c>
      <c r="L190" s="46">
        <f t="shared" si="38"/>
        <v>0</v>
      </c>
      <c r="M190" s="46">
        <f t="shared" si="38"/>
        <v>2</v>
      </c>
      <c r="N190" s="46">
        <f t="shared" si="38"/>
        <v>0</v>
      </c>
      <c r="O190" s="46">
        <f t="shared" si="38"/>
        <v>0</v>
      </c>
      <c r="P190" s="46">
        <f t="shared" si="38"/>
        <v>15</v>
      </c>
      <c r="Q190" s="46">
        <f t="shared" si="38"/>
        <v>20</v>
      </c>
      <c r="R190" s="46">
        <f t="shared" si="38"/>
        <v>5</v>
      </c>
      <c r="S190" s="46">
        <f t="shared" si="38"/>
        <v>0</v>
      </c>
      <c r="T190" s="46">
        <f t="shared" si="38"/>
        <v>14</v>
      </c>
      <c r="U190" s="46">
        <f t="shared" si="38"/>
        <v>0</v>
      </c>
      <c r="V190" s="46">
        <f t="shared" si="38"/>
        <v>0</v>
      </c>
      <c r="W190" s="46">
        <f t="shared" si="38"/>
        <v>64</v>
      </c>
      <c r="X190" s="46">
        <f t="shared" si="38"/>
        <v>0</v>
      </c>
      <c r="Y190" s="46">
        <f t="shared" si="38"/>
        <v>0</v>
      </c>
      <c r="Z190" s="46">
        <f t="shared" si="38"/>
        <v>7</v>
      </c>
      <c r="AA190" s="46">
        <f t="shared" si="38"/>
        <v>0</v>
      </c>
      <c r="AB190" s="46">
        <f t="shared" si="38"/>
        <v>0</v>
      </c>
      <c r="AC190" s="46">
        <f t="shared" si="38"/>
        <v>0</v>
      </c>
      <c r="AD190" s="46">
        <f t="shared" si="38"/>
        <v>0</v>
      </c>
      <c r="AE190" s="46">
        <f t="shared" si="38"/>
        <v>0</v>
      </c>
      <c r="AF190" s="46">
        <f t="shared" si="38"/>
        <v>0</v>
      </c>
    </row>
    <row r="191" spans="1:32" ht="46.5" customHeight="1" thickBot="1">
      <c r="A191" s="156" t="s">
        <v>207</v>
      </c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57"/>
    </row>
    <row r="192" spans="1:32" ht="47.25" thickBot="1">
      <c r="A192" s="44">
        <v>1</v>
      </c>
      <c r="B192" s="48" t="s">
        <v>70</v>
      </c>
      <c r="C192" s="46"/>
      <c r="D192" s="51"/>
      <c r="E192" s="51"/>
      <c r="F192" s="51"/>
      <c r="G192" s="46">
        <v>12</v>
      </c>
      <c r="H192" s="51"/>
      <c r="I192" s="51"/>
      <c r="J192" s="78"/>
      <c r="K192" s="78"/>
      <c r="L192" s="78"/>
      <c r="M192" s="78"/>
      <c r="N192" s="51"/>
      <c r="O192" s="46"/>
      <c r="P192" s="52">
        <v>2</v>
      </c>
      <c r="Q192" s="46">
        <v>1</v>
      </c>
      <c r="R192" s="52"/>
      <c r="S192" s="46"/>
      <c r="T192" s="52">
        <v>180</v>
      </c>
      <c r="U192" s="46"/>
      <c r="V192" s="52"/>
      <c r="W192" s="46"/>
      <c r="X192" s="52"/>
      <c r="Y192" s="46"/>
      <c r="Z192" s="52"/>
      <c r="AA192" s="46"/>
      <c r="AB192" s="52"/>
      <c r="AC192" s="46"/>
      <c r="AD192" s="46"/>
      <c r="AE192" s="46"/>
      <c r="AF192" s="51"/>
    </row>
    <row r="193" spans="1:32" ht="47.25" thickBot="1">
      <c r="A193" s="44">
        <v>86</v>
      </c>
      <c r="B193" s="45" t="s">
        <v>128</v>
      </c>
      <c r="C193" s="51">
        <v>30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44">
        <v>8</v>
      </c>
      <c r="P193" s="52"/>
      <c r="Q193" s="44"/>
      <c r="R193" s="52"/>
      <c r="S193" s="44"/>
      <c r="T193" s="52"/>
      <c r="U193" s="44"/>
      <c r="V193" s="52"/>
      <c r="W193" s="44"/>
      <c r="X193" s="52"/>
      <c r="Y193" s="44"/>
      <c r="Z193" s="52"/>
      <c r="AA193" s="44"/>
      <c r="AB193" s="52"/>
      <c r="AC193" s="44"/>
      <c r="AD193" s="44"/>
      <c r="AE193" s="44"/>
      <c r="AF193" s="51"/>
    </row>
    <row r="194" spans="1:32" ht="47.25" thickBot="1">
      <c r="A194" s="44">
        <v>15</v>
      </c>
      <c r="B194" s="45" t="s">
        <v>18</v>
      </c>
      <c r="C194" s="46"/>
      <c r="D194" s="57"/>
      <c r="E194" s="57"/>
      <c r="F194" s="57"/>
      <c r="G194" s="57"/>
      <c r="H194" s="51"/>
      <c r="I194" s="51"/>
      <c r="J194" s="51"/>
      <c r="K194" s="51"/>
      <c r="L194" s="51"/>
      <c r="M194" s="51"/>
      <c r="N194" s="51"/>
      <c r="O194" s="52"/>
      <c r="P194" s="46">
        <v>12</v>
      </c>
      <c r="Q194" s="52"/>
      <c r="R194" s="46"/>
      <c r="S194" s="52"/>
      <c r="T194" s="46">
        <v>84</v>
      </c>
      <c r="U194" s="52"/>
      <c r="V194" s="44"/>
      <c r="W194" s="46"/>
      <c r="X194" s="44"/>
      <c r="Y194" s="52"/>
      <c r="Z194" s="46"/>
      <c r="AA194" s="46"/>
      <c r="AB194" s="52"/>
      <c r="AC194" s="44"/>
      <c r="AD194" s="46">
        <v>1.2</v>
      </c>
      <c r="AE194" s="52"/>
      <c r="AF194" s="46"/>
    </row>
    <row r="195" spans="1:32" ht="47.25" thickBot="1">
      <c r="A195" s="44">
        <v>21</v>
      </c>
      <c r="B195" s="73" t="s">
        <v>38</v>
      </c>
      <c r="C195" s="44"/>
      <c r="D195" s="51"/>
      <c r="E195" s="44"/>
      <c r="F195" s="44"/>
      <c r="G195" s="44"/>
      <c r="H195" s="51"/>
      <c r="I195" s="51"/>
      <c r="J195" s="51"/>
      <c r="K195" s="51"/>
      <c r="L195" s="51"/>
      <c r="M195" s="51"/>
      <c r="N195" s="51"/>
      <c r="O195" s="52"/>
      <c r="P195" s="46"/>
      <c r="Q195" s="52"/>
      <c r="R195" s="46"/>
      <c r="S195" s="52"/>
      <c r="T195" s="46">
        <v>154</v>
      </c>
      <c r="U195" s="52"/>
      <c r="V195" s="46"/>
      <c r="W195" s="46"/>
      <c r="X195" s="52"/>
      <c r="Y195" s="46"/>
      <c r="Z195" s="46"/>
      <c r="AA195" s="52"/>
      <c r="AB195" s="46"/>
      <c r="AC195" s="52"/>
      <c r="AD195" s="46"/>
      <c r="AE195" s="46"/>
      <c r="AF195" s="51"/>
    </row>
    <row r="196" spans="1:32" ht="47.25" thickBot="1">
      <c r="A196" s="44">
        <v>78</v>
      </c>
      <c r="B196" s="45" t="s">
        <v>187</v>
      </c>
      <c r="C196" s="46"/>
      <c r="D196" s="51"/>
      <c r="E196" s="51">
        <v>48</v>
      </c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>
        <v>10</v>
      </c>
      <c r="Q196" s="51">
        <v>11</v>
      </c>
      <c r="R196" s="51">
        <v>0.2</v>
      </c>
      <c r="S196" s="51">
        <v>5.4</v>
      </c>
      <c r="T196" s="51">
        <v>20</v>
      </c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46">
        <v>1.1</v>
      </c>
    </row>
    <row r="197" spans="1:32" ht="47.25" thickBot="1">
      <c r="A197" s="69"/>
      <c r="B197" s="45" t="s">
        <v>8</v>
      </c>
      <c r="C197" s="46">
        <f>SUM(C192:C196)</f>
        <v>30</v>
      </c>
      <c r="D197" s="46">
        <f aca="true" t="shared" si="39" ref="D197:AF197">SUM(D192:D196)</f>
        <v>0</v>
      </c>
      <c r="E197" s="46">
        <f t="shared" si="39"/>
        <v>48</v>
      </c>
      <c r="F197" s="46">
        <f t="shared" si="39"/>
        <v>0</v>
      </c>
      <c r="G197" s="46">
        <f t="shared" si="39"/>
        <v>12</v>
      </c>
      <c r="H197" s="46">
        <f t="shared" si="39"/>
        <v>0</v>
      </c>
      <c r="I197" s="46">
        <f t="shared" si="39"/>
        <v>0</v>
      </c>
      <c r="J197" s="46">
        <f t="shared" si="39"/>
        <v>0</v>
      </c>
      <c r="K197" s="46">
        <f t="shared" si="39"/>
        <v>0</v>
      </c>
      <c r="L197" s="46">
        <f t="shared" si="39"/>
        <v>0</v>
      </c>
      <c r="M197" s="46">
        <f t="shared" si="39"/>
        <v>0</v>
      </c>
      <c r="N197" s="46">
        <f t="shared" si="39"/>
        <v>0</v>
      </c>
      <c r="O197" s="46">
        <f t="shared" si="39"/>
        <v>8</v>
      </c>
      <c r="P197" s="46">
        <f t="shared" si="39"/>
        <v>24</v>
      </c>
      <c r="Q197" s="46">
        <f t="shared" si="39"/>
        <v>12</v>
      </c>
      <c r="R197" s="46">
        <f t="shared" si="39"/>
        <v>0.2</v>
      </c>
      <c r="S197" s="46">
        <f t="shared" si="39"/>
        <v>5.4</v>
      </c>
      <c r="T197" s="46">
        <f t="shared" si="39"/>
        <v>438</v>
      </c>
      <c r="U197" s="46">
        <f t="shared" si="39"/>
        <v>0</v>
      </c>
      <c r="V197" s="46">
        <f t="shared" si="39"/>
        <v>0</v>
      </c>
      <c r="W197" s="46">
        <f t="shared" si="39"/>
        <v>0</v>
      </c>
      <c r="X197" s="46">
        <f t="shared" si="39"/>
        <v>0</v>
      </c>
      <c r="Y197" s="46">
        <f t="shared" si="39"/>
        <v>0</v>
      </c>
      <c r="Z197" s="46">
        <f t="shared" si="39"/>
        <v>0</v>
      </c>
      <c r="AA197" s="46">
        <f t="shared" si="39"/>
        <v>0</v>
      </c>
      <c r="AB197" s="46">
        <f t="shared" si="39"/>
        <v>0</v>
      </c>
      <c r="AC197" s="46">
        <f t="shared" si="39"/>
        <v>0</v>
      </c>
      <c r="AD197" s="46">
        <f t="shared" si="39"/>
        <v>1.2</v>
      </c>
      <c r="AE197" s="46">
        <f t="shared" si="39"/>
        <v>0</v>
      </c>
      <c r="AF197" s="46">
        <f t="shared" si="39"/>
        <v>1.1</v>
      </c>
    </row>
    <row r="198" spans="1:32" ht="93.75" thickBot="1">
      <c r="A198" s="95"/>
      <c r="B198" s="45" t="s">
        <v>145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>
        <v>6</v>
      </c>
      <c r="AF198" s="46"/>
    </row>
    <row r="199" spans="1:32" s="96" customFormat="1" ht="47.25" thickBot="1">
      <c r="A199" s="44"/>
      <c r="B199" s="74" t="s">
        <v>12</v>
      </c>
      <c r="C199" s="79">
        <f aca="true" t="shared" si="40" ref="C199:AD199">SUM(C176+C180+C190+C197)</f>
        <v>105</v>
      </c>
      <c r="D199" s="79">
        <f t="shared" si="40"/>
        <v>45</v>
      </c>
      <c r="E199" s="79">
        <f t="shared" si="40"/>
        <v>57</v>
      </c>
      <c r="F199" s="79">
        <f t="shared" si="40"/>
        <v>7.5</v>
      </c>
      <c r="G199" s="79">
        <f t="shared" si="40"/>
        <v>37</v>
      </c>
      <c r="H199" s="79">
        <f t="shared" si="40"/>
        <v>44</v>
      </c>
      <c r="I199" s="79">
        <f t="shared" si="40"/>
        <v>75</v>
      </c>
      <c r="J199" s="79">
        <f t="shared" si="40"/>
        <v>143</v>
      </c>
      <c r="K199" s="79">
        <f t="shared" si="40"/>
        <v>90</v>
      </c>
      <c r="L199" s="79">
        <f t="shared" si="40"/>
        <v>0</v>
      </c>
      <c r="M199" s="79">
        <f t="shared" si="40"/>
        <v>112</v>
      </c>
      <c r="N199" s="79">
        <f t="shared" si="40"/>
        <v>0</v>
      </c>
      <c r="O199" s="79">
        <f t="shared" si="40"/>
        <v>8</v>
      </c>
      <c r="P199" s="79">
        <f t="shared" si="40"/>
        <v>56</v>
      </c>
      <c r="Q199" s="79">
        <f t="shared" si="40"/>
        <v>40</v>
      </c>
      <c r="R199" s="79">
        <f t="shared" si="40"/>
        <v>5.2</v>
      </c>
      <c r="S199" s="79">
        <f t="shared" si="40"/>
        <v>5.4</v>
      </c>
      <c r="T199" s="79">
        <f t="shared" si="40"/>
        <v>602</v>
      </c>
      <c r="U199" s="79">
        <f t="shared" si="40"/>
        <v>0</v>
      </c>
      <c r="V199" s="79">
        <f t="shared" si="40"/>
        <v>0</v>
      </c>
      <c r="W199" s="79">
        <f t="shared" si="40"/>
        <v>64</v>
      </c>
      <c r="X199" s="79">
        <f t="shared" si="40"/>
        <v>0</v>
      </c>
      <c r="Y199" s="79">
        <f t="shared" si="40"/>
        <v>0</v>
      </c>
      <c r="Z199" s="79">
        <f t="shared" si="40"/>
        <v>7</v>
      </c>
      <c r="AA199" s="79">
        <f t="shared" si="40"/>
        <v>0</v>
      </c>
      <c r="AB199" s="79">
        <f t="shared" si="40"/>
        <v>0.6</v>
      </c>
      <c r="AC199" s="79">
        <f t="shared" si="40"/>
        <v>0</v>
      </c>
      <c r="AD199" s="79">
        <f t="shared" si="40"/>
        <v>1.2</v>
      </c>
      <c r="AE199" s="46">
        <v>6</v>
      </c>
      <c r="AF199" s="79">
        <f>SUM(AF176+AF180+AF190+AF197)</f>
        <v>1.1</v>
      </c>
    </row>
    <row r="200" spans="1:32" s="96" customFormat="1" ht="47.25" thickBot="1">
      <c r="A200" s="165" t="s">
        <v>65</v>
      </c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7"/>
    </row>
    <row r="201" spans="1:32" ht="47.25" thickBot="1">
      <c r="A201" s="165" t="s">
        <v>21</v>
      </c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7"/>
    </row>
    <row r="202" spans="1:32" s="97" customFormat="1" ht="45.75" customHeight="1">
      <c r="A202" s="168" t="s">
        <v>39</v>
      </c>
      <c r="B202" s="170" t="s">
        <v>26</v>
      </c>
      <c r="C202" s="154" t="s">
        <v>114</v>
      </c>
      <c r="D202" s="154" t="s">
        <v>115</v>
      </c>
      <c r="E202" s="154" t="s">
        <v>116</v>
      </c>
      <c r="F202" s="154" t="s">
        <v>117</v>
      </c>
      <c r="G202" s="154" t="s">
        <v>109</v>
      </c>
      <c r="H202" s="154" t="s">
        <v>118</v>
      </c>
      <c r="I202" s="154" t="s">
        <v>246</v>
      </c>
      <c r="J202" s="154" t="s">
        <v>247</v>
      </c>
      <c r="K202" s="90"/>
      <c r="L202" s="90"/>
      <c r="M202" s="154" t="s">
        <v>217</v>
      </c>
      <c r="N202" s="154" t="s">
        <v>121</v>
      </c>
      <c r="O202" s="154" t="s">
        <v>81</v>
      </c>
      <c r="P202" s="154" t="s">
        <v>82</v>
      </c>
      <c r="Q202" s="154" t="s">
        <v>122</v>
      </c>
      <c r="R202" s="154" t="s">
        <v>83</v>
      </c>
      <c r="S202" s="154" t="s">
        <v>123</v>
      </c>
      <c r="T202" s="154" t="s">
        <v>126</v>
      </c>
      <c r="U202" s="154" t="s">
        <v>143</v>
      </c>
      <c r="V202" s="90"/>
      <c r="W202" s="154" t="s">
        <v>248</v>
      </c>
      <c r="X202" s="154" t="s">
        <v>249</v>
      </c>
      <c r="Y202" s="154" t="s">
        <v>250</v>
      </c>
      <c r="Z202" s="154" t="s">
        <v>84</v>
      </c>
      <c r="AA202" s="154" t="s">
        <v>85</v>
      </c>
      <c r="AB202" s="154" t="s">
        <v>89</v>
      </c>
      <c r="AC202" s="90"/>
      <c r="AD202" s="154" t="s">
        <v>124</v>
      </c>
      <c r="AE202" s="154" t="s">
        <v>86</v>
      </c>
      <c r="AF202" s="154" t="s">
        <v>125</v>
      </c>
    </row>
    <row r="203" spans="1:32" s="97" customFormat="1" ht="397.5" customHeight="1" thickBot="1">
      <c r="A203" s="169"/>
      <c r="B203" s="171"/>
      <c r="C203" s="155"/>
      <c r="D203" s="155"/>
      <c r="E203" s="155"/>
      <c r="F203" s="155"/>
      <c r="G203" s="155"/>
      <c r="H203" s="155"/>
      <c r="I203" s="155"/>
      <c r="J203" s="155"/>
      <c r="K203" s="91" t="s">
        <v>119</v>
      </c>
      <c r="L203" s="91" t="s">
        <v>120</v>
      </c>
      <c r="M203" s="155"/>
      <c r="N203" s="155"/>
      <c r="O203" s="155"/>
      <c r="P203" s="155"/>
      <c r="Q203" s="155"/>
      <c r="R203" s="155"/>
      <c r="S203" s="155"/>
      <c r="T203" s="155"/>
      <c r="U203" s="155"/>
      <c r="V203" s="91" t="s">
        <v>111</v>
      </c>
      <c r="W203" s="155"/>
      <c r="X203" s="155"/>
      <c r="Y203" s="155"/>
      <c r="Z203" s="155"/>
      <c r="AA203" s="155"/>
      <c r="AB203" s="155"/>
      <c r="AC203" s="91" t="s">
        <v>110</v>
      </c>
      <c r="AD203" s="155"/>
      <c r="AE203" s="155"/>
      <c r="AF203" s="155"/>
    </row>
    <row r="204" spans="1:32" s="97" customFormat="1" ht="47.25" thickBot="1">
      <c r="A204" s="95">
        <v>1</v>
      </c>
      <c r="B204" s="68">
        <v>2</v>
      </c>
      <c r="C204" s="69" t="s">
        <v>112</v>
      </c>
      <c r="D204" s="70">
        <v>4</v>
      </c>
      <c r="E204" s="69">
        <v>5</v>
      </c>
      <c r="F204" s="69">
        <v>6</v>
      </c>
      <c r="G204" s="69">
        <v>7</v>
      </c>
      <c r="H204" s="69">
        <v>8</v>
      </c>
      <c r="I204" s="69" t="s">
        <v>113</v>
      </c>
      <c r="J204" s="70">
        <v>10</v>
      </c>
      <c r="K204" s="69">
        <v>11</v>
      </c>
      <c r="L204" s="85">
        <v>12</v>
      </c>
      <c r="M204" s="69">
        <v>13</v>
      </c>
      <c r="N204" s="69">
        <v>14</v>
      </c>
      <c r="O204" s="69">
        <v>15</v>
      </c>
      <c r="P204" s="69">
        <v>16</v>
      </c>
      <c r="Q204" s="94">
        <v>17</v>
      </c>
      <c r="R204" s="69">
        <v>18</v>
      </c>
      <c r="S204" s="94">
        <v>19</v>
      </c>
      <c r="T204" s="69">
        <v>20</v>
      </c>
      <c r="U204" s="94">
        <v>21</v>
      </c>
      <c r="V204" s="94">
        <v>22</v>
      </c>
      <c r="W204" s="69">
        <v>23</v>
      </c>
      <c r="X204" s="69">
        <v>24</v>
      </c>
      <c r="Y204" s="94">
        <v>25</v>
      </c>
      <c r="Z204" s="69">
        <v>26</v>
      </c>
      <c r="AA204" s="69">
        <v>27</v>
      </c>
      <c r="AB204" s="69">
        <v>28</v>
      </c>
      <c r="AC204" s="94">
        <v>29</v>
      </c>
      <c r="AD204" s="69">
        <v>30</v>
      </c>
      <c r="AE204" s="69">
        <v>31</v>
      </c>
      <c r="AF204" s="92">
        <v>32</v>
      </c>
    </row>
    <row r="205" spans="1:32" s="97" customFormat="1" ht="47.25" thickBot="1">
      <c r="A205" s="165" t="s">
        <v>7</v>
      </c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7"/>
    </row>
    <row r="206" spans="1:32" ht="47.25" thickBot="1">
      <c r="A206" s="46">
        <v>50.14</v>
      </c>
      <c r="B206" s="48" t="s">
        <v>223</v>
      </c>
      <c r="C206" s="46"/>
      <c r="D206" s="57"/>
      <c r="E206" s="57"/>
      <c r="F206" s="57"/>
      <c r="G206" s="57">
        <v>20</v>
      </c>
      <c r="H206" s="51"/>
      <c r="I206" s="51"/>
      <c r="J206" s="51"/>
      <c r="K206" s="51"/>
      <c r="L206" s="51"/>
      <c r="M206" s="51"/>
      <c r="N206" s="51"/>
      <c r="O206" s="52"/>
      <c r="P206" s="46">
        <v>5</v>
      </c>
      <c r="Q206" s="52">
        <v>3</v>
      </c>
      <c r="R206" s="46"/>
      <c r="S206" s="52"/>
      <c r="T206" s="46">
        <v>150</v>
      </c>
      <c r="U206" s="52"/>
      <c r="V206" s="46"/>
      <c r="W206" s="46"/>
      <c r="X206" s="46"/>
      <c r="Y206" s="52"/>
      <c r="Z206" s="46"/>
      <c r="AA206" s="46"/>
      <c r="AB206" s="46"/>
      <c r="AC206" s="52"/>
      <c r="AD206" s="46"/>
      <c r="AE206" s="52"/>
      <c r="AF206" s="46"/>
    </row>
    <row r="207" spans="1:32" ht="47.25" thickBot="1">
      <c r="A207" s="44">
        <v>103</v>
      </c>
      <c r="B207" s="45" t="s">
        <v>237</v>
      </c>
      <c r="C207" s="46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44"/>
      <c r="P207" s="46">
        <v>2.4</v>
      </c>
      <c r="Q207" s="44"/>
      <c r="R207" s="52"/>
      <c r="S207" s="44"/>
      <c r="T207" s="46">
        <v>35</v>
      </c>
      <c r="U207" s="44"/>
      <c r="V207" s="52"/>
      <c r="W207" s="44"/>
      <c r="X207" s="52"/>
      <c r="Y207" s="44"/>
      <c r="Z207" s="52"/>
      <c r="AA207" s="44"/>
      <c r="AB207" s="52"/>
      <c r="AC207" s="44">
        <v>2.4</v>
      </c>
      <c r="AD207" s="44"/>
      <c r="AE207" s="44"/>
      <c r="AF207" s="46"/>
    </row>
    <row r="208" spans="1:32" ht="47.25" thickBot="1">
      <c r="A208" s="44">
        <v>3</v>
      </c>
      <c r="B208" s="45" t="s">
        <v>58</v>
      </c>
      <c r="C208" s="51">
        <v>30</v>
      </c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44"/>
      <c r="P208" s="52"/>
      <c r="Q208" s="46">
        <v>5</v>
      </c>
      <c r="R208" s="52"/>
      <c r="S208" s="44"/>
      <c r="T208" s="52"/>
      <c r="U208" s="66"/>
      <c r="V208" s="44"/>
      <c r="W208" s="46"/>
      <c r="X208" s="52"/>
      <c r="Y208" s="44"/>
      <c r="Z208" s="52"/>
      <c r="AA208" s="44">
        <v>14.9</v>
      </c>
      <c r="AB208" s="52"/>
      <c r="AC208" s="44"/>
      <c r="AD208" s="51"/>
      <c r="AE208" s="44"/>
      <c r="AF208" s="51"/>
    </row>
    <row r="209" spans="1:32" ht="47.25" thickBot="1">
      <c r="A209" s="44"/>
      <c r="B209" s="45" t="s">
        <v>8</v>
      </c>
      <c r="C209" s="46">
        <f>SUM(C206+C207+C208)</f>
        <v>30</v>
      </c>
      <c r="D209" s="46">
        <f aca="true" t="shared" si="41" ref="D209:AF209">SUM(D206+D207+D208)</f>
        <v>0</v>
      </c>
      <c r="E209" s="46">
        <f t="shared" si="41"/>
        <v>0</v>
      </c>
      <c r="F209" s="46">
        <f t="shared" si="41"/>
        <v>0</v>
      </c>
      <c r="G209" s="46">
        <f t="shared" si="41"/>
        <v>20</v>
      </c>
      <c r="H209" s="46">
        <f t="shared" si="41"/>
        <v>0</v>
      </c>
      <c r="I209" s="46">
        <f t="shared" si="41"/>
        <v>0</v>
      </c>
      <c r="J209" s="46">
        <f t="shared" si="41"/>
        <v>0</v>
      </c>
      <c r="K209" s="46">
        <f t="shared" si="41"/>
        <v>0</v>
      </c>
      <c r="L209" s="46">
        <f t="shared" si="41"/>
        <v>0</v>
      </c>
      <c r="M209" s="46">
        <f t="shared" si="41"/>
        <v>0</v>
      </c>
      <c r="N209" s="46">
        <f t="shared" si="41"/>
        <v>0</v>
      </c>
      <c r="O209" s="46">
        <f t="shared" si="41"/>
        <v>0</v>
      </c>
      <c r="P209" s="46">
        <f t="shared" si="41"/>
        <v>7.4</v>
      </c>
      <c r="Q209" s="46">
        <f t="shared" si="41"/>
        <v>8</v>
      </c>
      <c r="R209" s="46">
        <f t="shared" si="41"/>
        <v>0</v>
      </c>
      <c r="S209" s="46">
        <f t="shared" si="41"/>
        <v>0</v>
      </c>
      <c r="T209" s="46">
        <f t="shared" si="41"/>
        <v>185</v>
      </c>
      <c r="U209" s="46">
        <f t="shared" si="41"/>
        <v>0</v>
      </c>
      <c r="V209" s="46">
        <f t="shared" si="41"/>
        <v>0</v>
      </c>
      <c r="W209" s="46">
        <f t="shared" si="41"/>
        <v>0</v>
      </c>
      <c r="X209" s="46">
        <f t="shared" si="41"/>
        <v>0</v>
      </c>
      <c r="Y209" s="46">
        <f t="shared" si="41"/>
        <v>0</v>
      </c>
      <c r="Z209" s="46">
        <f t="shared" si="41"/>
        <v>0</v>
      </c>
      <c r="AA209" s="46">
        <f t="shared" si="41"/>
        <v>14.9</v>
      </c>
      <c r="AB209" s="46">
        <f t="shared" si="41"/>
        <v>0</v>
      </c>
      <c r="AC209" s="46">
        <f t="shared" si="41"/>
        <v>2.4</v>
      </c>
      <c r="AD209" s="46">
        <f t="shared" si="41"/>
        <v>0</v>
      </c>
      <c r="AE209" s="46">
        <f t="shared" si="41"/>
        <v>0</v>
      </c>
      <c r="AF209" s="46">
        <f t="shared" si="41"/>
        <v>0</v>
      </c>
    </row>
    <row r="210" spans="1:32" ht="47.25" thickBot="1">
      <c r="A210" s="156" t="s">
        <v>107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57"/>
    </row>
    <row r="211" spans="1:32" ht="47.25" thickBot="1">
      <c r="A211" s="44" t="s">
        <v>45</v>
      </c>
      <c r="B211" s="48" t="s">
        <v>108</v>
      </c>
      <c r="C211" s="46"/>
      <c r="D211" s="51"/>
      <c r="E211" s="51"/>
      <c r="F211" s="51"/>
      <c r="G211" s="51"/>
      <c r="H211" s="51"/>
      <c r="I211" s="51"/>
      <c r="J211" s="51"/>
      <c r="K211" s="51">
        <v>90</v>
      </c>
      <c r="L211" s="51"/>
      <c r="M211" s="51"/>
      <c r="N211" s="51"/>
      <c r="O211" s="52"/>
      <c r="P211" s="46"/>
      <c r="Q211" s="52"/>
      <c r="R211" s="46"/>
      <c r="S211" s="52"/>
      <c r="T211" s="46"/>
      <c r="U211" s="52"/>
      <c r="V211" s="46"/>
      <c r="W211" s="46"/>
      <c r="X211" s="52"/>
      <c r="Y211" s="46"/>
      <c r="Z211" s="46"/>
      <c r="AA211" s="52"/>
      <c r="AB211" s="46"/>
      <c r="AC211" s="52"/>
      <c r="AD211" s="46"/>
      <c r="AE211" s="46"/>
      <c r="AF211" s="51"/>
    </row>
    <row r="212" spans="1:32" ht="93.75" thickBot="1">
      <c r="A212" s="44" t="s">
        <v>45</v>
      </c>
      <c r="B212" s="45" t="s">
        <v>184</v>
      </c>
      <c r="C212" s="46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6">
        <v>8</v>
      </c>
      <c r="P212" s="51"/>
      <c r="Q212" s="52"/>
      <c r="R212" s="46"/>
      <c r="S212" s="52"/>
      <c r="T212" s="46"/>
      <c r="U212" s="52"/>
      <c r="V212" s="46"/>
      <c r="W212" s="51"/>
      <c r="X212" s="52"/>
      <c r="Y212" s="46"/>
      <c r="Z212" s="51"/>
      <c r="AA212" s="52"/>
      <c r="AB212" s="46"/>
      <c r="AC212" s="52"/>
      <c r="AD212" s="46"/>
      <c r="AE212" s="51"/>
      <c r="AF212" s="51"/>
    </row>
    <row r="213" spans="1:32" ht="47.25" thickBot="1">
      <c r="A213" s="44" t="s">
        <v>45</v>
      </c>
      <c r="B213" s="45" t="s">
        <v>127</v>
      </c>
      <c r="C213" s="46"/>
      <c r="D213" s="51"/>
      <c r="E213" s="51"/>
      <c r="F213" s="51"/>
      <c r="G213" s="51"/>
      <c r="H213" s="51"/>
      <c r="I213" s="51"/>
      <c r="J213" s="51"/>
      <c r="K213" s="51"/>
      <c r="L213" s="51"/>
      <c r="M213" s="51">
        <v>110</v>
      </c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7"/>
    </row>
    <row r="214" spans="1:32" ht="47.25" thickBot="1">
      <c r="A214" s="44"/>
      <c r="B214" s="45" t="s">
        <v>37</v>
      </c>
      <c r="C214" s="46">
        <f>SUM(C211:C213)</f>
        <v>0</v>
      </c>
      <c r="D214" s="46">
        <f aca="true" t="shared" si="42" ref="D214:O214">SUM(D211:D213)</f>
        <v>0</v>
      </c>
      <c r="E214" s="46">
        <f t="shared" si="42"/>
        <v>0</v>
      </c>
      <c r="F214" s="46">
        <f t="shared" si="42"/>
        <v>0</v>
      </c>
      <c r="G214" s="46">
        <f t="shared" si="42"/>
        <v>0</v>
      </c>
      <c r="H214" s="46">
        <f t="shared" si="42"/>
        <v>0</v>
      </c>
      <c r="I214" s="46">
        <f t="shared" si="42"/>
        <v>0</v>
      </c>
      <c r="J214" s="46">
        <f t="shared" si="42"/>
        <v>0</v>
      </c>
      <c r="K214" s="46">
        <f t="shared" si="42"/>
        <v>90</v>
      </c>
      <c r="L214" s="46">
        <f t="shared" si="42"/>
        <v>0</v>
      </c>
      <c r="M214" s="46">
        <f t="shared" si="42"/>
        <v>110</v>
      </c>
      <c r="N214" s="46">
        <f t="shared" si="42"/>
        <v>0</v>
      </c>
      <c r="O214" s="46">
        <f t="shared" si="42"/>
        <v>8</v>
      </c>
      <c r="P214" s="46">
        <f aca="true" t="shared" si="43" ref="P214:AF214">SUM(P211:P212)</f>
        <v>0</v>
      </c>
      <c r="Q214" s="46">
        <f t="shared" si="43"/>
        <v>0</v>
      </c>
      <c r="R214" s="46">
        <f t="shared" si="43"/>
        <v>0</v>
      </c>
      <c r="S214" s="46">
        <f t="shared" si="43"/>
        <v>0</v>
      </c>
      <c r="T214" s="46">
        <f t="shared" si="43"/>
        <v>0</v>
      </c>
      <c r="U214" s="46">
        <f t="shared" si="43"/>
        <v>0</v>
      </c>
      <c r="V214" s="46">
        <f t="shared" si="43"/>
        <v>0</v>
      </c>
      <c r="W214" s="46">
        <f t="shared" si="43"/>
        <v>0</v>
      </c>
      <c r="X214" s="46">
        <f t="shared" si="43"/>
        <v>0</v>
      </c>
      <c r="Y214" s="46">
        <f t="shared" si="43"/>
        <v>0</v>
      </c>
      <c r="Z214" s="46">
        <f t="shared" si="43"/>
        <v>0</v>
      </c>
      <c r="AA214" s="46">
        <f t="shared" si="43"/>
        <v>0</v>
      </c>
      <c r="AB214" s="46">
        <f t="shared" si="43"/>
        <v>0</v>
      </c>
      <c r="AC214" s="46">
        <f t="shared" si="43"/>
        <v>0</v>
      </c>
      <c r="AD214" s="46">
        <f t="shared" si="43"/>
        <v>0</v>
      </c>
      <c r="AE214" s="46">
        <f t="shared" si="43"/>
        <v>0</v>
      </c>
      <c r="AF214" s="46">
        <f t="shared" si="43"/>
        <v>0</v>
      </c>
    </row>
    <row r="215" spans="1:32" ht="47.25" thickBot="1">
      <c r="A215" s="165" t="s">
        <v>10</v>
      </c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7"/>
    </row>
    <row r="216" spans="1:32" ht="47.25" thickBot="1">
      <c r="A216" s="44">
        <v>33</v>
      </c>
      <c r="B216" s="45" t="s">
        <v>67</v>
      </c>
      <c r="C216" s="46"/>
      <c r="D216" s="51"/>
      <c r="E216" s="51"/>
      <c r="F216" s="51"/>
      <c r="G216" s="51"/>
      <c r="H216" s="51"/>
      <c r="I216" s="51"/>
      <c r="J216" s="51">
        <v>10</v>
      </c>
      <c r="K216" s="51"/>
      <c r="L216" s="51"/>
      <c r="M216" s="51"/>
      <c r="N216" s="51"/>
      <c r="O216" s="52"/>
      <c r="P216" s="44"/>
      <c r="Q216" s="52"/>
      <c r="R216" s="44">
        <v>5</v>
      </c>
      <c r="S216" s="52"/>
      <c r="T216" s="44"/>
      <c r="U216" s="52"/>
      <c r="V216" s="46"/>
      <c r="W216" s="44"/>
      <c r="X216" s="52"/>
      <c r="Y216" s="46">
        <v>46</v>
      </c>
      <c r="Z216" s="44"/>
      <c r="AA216" s="52"/>
      <c r="AB216" s="44"/>
      <c r="AC216" s="46"/>
      <c r="AD216" s="52"/>
      <c r="AE216" s="44"/>
      <c r="AF216" s="93"/>
    </row>
    <row r="217" spans="1:32" ht="47.25" thickBot="1">
      <c r="A217" s="44">
        <v>70</v>
      </c>
      <c r="B217" s="45" t="s">
        <v>68</v>
      </c>
      <c r="C217" s="46"/>
      <c r="D217" s="51"/>
      <c r="E217" s="51"/>
      <c r="F217" s="51"/>
      <c r="G217" s="51"/>
      <c r="H217" s="51"/>
      <c r="I217" s="51">
        <v>43</v>
      </c>
      <c r="J217" s="51">
        <v>90</v>
      </c>
      <c r="K217" s="51"/>
      <c r="L217" s="51"/>
      <c r="M217" s="51"/>
      <c r="N217" s="51"/>
      <c r="O217" s="52"/>
      <c r="P217" s="44">
        <v>1.25</v>
      </c>
      <c r="Q217" s="52">
        <v>4</v>
      </c>
      <c r="R217" s="44"/>
      <c r="S217" s="52"/>
      <c r="T217" s="44"/>
      <c r="U217" s="52"/>
      <c r="V217" s="44"/>
      <c r="W217" s="44">
        <v>16</v>
      </c>
      <c r="X217" s="52"/>
      <c r="Y217" s="44"/>
      <c r="Z217" s="46">
        <v>7</v>
      </c>
      <c r="AA217" s="52"/>
      <c r="AB217" s="44"/>
      <c r="AC217" s="44"/>
      <c r="AD217" s="52"/>
      <c r="AE217" s="44"/>
      <c r="AF217" s="51"/>
    </row>
    <row r="218" spans="1:32" ht="47.25" thickBot="1">
      <c r="A218" s="44">
        <v>64</v>
      </c>
      <c r="B218" s="45" t="s">
        <v>57</v>
      </c>
      <c r="C218" s="46"/>
      <c r="D218" s="51"/>
      <c r="E218" s="51">
        <v>4</v>
      </c>
      <c r="F218" s="51"/>
      <c r="G218" s="51">
        <v>6</v>
      </c>
      <c r="H218" s="51"/>
      <c r="I218" s="51"/>
      <c r="J218" s="51">
        <v>18</v>
      </c>
      <c r="K218" s="51"/>
      <c r="L218" s="51"/>
      <c r="M218" s="51"/>
      <c r="N218" s="51"/>
      <c r="O218" s="52"/>
      <c r="P218" s="44"/>
      <c r="Q218" s="52"/>
      <c r="R218" s="44">
        <v>6</v>
      </c>
      <c r="S218" s="52">
        <v>3</v>
      </c>
      <c r="T218" s="44"/>
      <c r="U218" s="52"/>
      <c r="V218" s="44"/>
      <c r="W218" s="44">
        <v>45</v>
      </c>
      <c r="X218" s="52"/>
      <c r="Y218" s="44"/>
      <c r="Z218" s="44"/>
      <c r="AA218" s="52"/>
      <c r="AB218" s="44"/>
      <c r="AC218" s="44"/>
      <c r="AD218" s="52"/>
      <c r="AE218" s="44"/>
      <c r="AF218" s="92"/>
    </row>
    <row r="219" spans="1:32" ht="47.25" thickBot="1">
      <c r="A219" s="44">
        <v>7</v>
      </c>
      <c r="B219" s="45" t="s">
        <v>177</v>
      </c>
      <c r="C219" s="46"/>
      <c r="D219" s="51"/>
      <c r="E219" s="51">
        <v>3</v>
      </c>
      <c r="F219" s="51"/>
      <c r="G219" s="51"/>
      <c r="H219" s="51"/>
      <c r="I219" s="51"/>
      <c r="J219" s="51">
        <v>15</v>
      </c>
      <c r="K219" s="51"/>
      <c r="L219" s="51"/>
      <c r="M219" s="51"/>
      <c r="N219" s="51"/>
      <c r="O219" s="52"/>
      <c r="P219" s="44"/>
      <c r="Q219" s="52">
        <v>2</v>
      </c>
      <c r="R219" s="44"/>
      <c r="S219" s="52"/>
      <c r="T219" s="44"/>
      <c r="U219" s="44"/>
      <c r="V219" s="52"/>
      <c r="W219" s="44"/>
      <c r="X219" s="52"/>
      <c r="Y219" s="44"/>
      <c r="Z219" s="44"/>
      <c r="AA219" s="52"/>
      <c r="AB219" s="44"/>
      <c r="AC219" s="52"/>
      <c r="AD219" s="44"/>
      <c r="AE219" s="44"/>
      <c r="AF219" s="51"/>
    </row>
    <row r="220" spans="1:32" ht="47.25" thickBot="1">
      <c r="A220" s="44">
        <v>90</v>
      </c>
      <c r="B220" s="45" t="s">
        <v>197</v>
      </c>
      <c r="C220" s="46"/>
      <c r="D220" s="51"/>
      <c r="E220" s="51"/>
      <c r="F220" s="51"/>
      <c r="G220" s="51"/>
      <c r="H220" s="51"/>
      <c r="I220" s="51">
        <v>86</v>
      </c>
      <c r="J220" s="51">
        <v>79</v>
      </c>
      <c r="K220" s="51"/>
      <c r="L220" s="51"/>
      <c r="M220" s="51"/>
      <c r="N220" s="51"/>
      <c r="O220" s="44"/>
      <c r="P220" s="52"/>
      <c r="Q220" s="44">
        <v>7</v>
      </c>
      <c r="R220" s="52"/>
      <c r="S220" s="44"/>
      <c r="T220" s="52"/>
      <c r="U220" s="66"/>
      <c r="V220" s="44"/>
      <c r="W220" s="44"/>
      <c r="X220" s="52"/>
      <c r="Y220" s="44"/>
      <c r="Z220" s="52"/>
      <c r="AA220" s="44"/>
      <c r="AB220" s="44"/>
      <c r="AC220" s="52"/>
      <c r="AD220" s="44"/>
      <c r="AE220" s="44"/>
      <c r="AF220" s="51"/>
    </row>
    <row r="221" spans="1:32" ht="47.25" thickBot="1">
      <c r="A221" s="44">
        <v>9</v>
      </c>
      <c r="B221" s="45" t="s">
        <v>74</v>
      </c>
      <c r="C221" s="46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>
        <v>22</v>
      </c>
      <c r="O221" s="52"/>
      <c r="P221" s="44">
        <v>15</v>
      </c>
      <c r="Q221" s="52"/>
      <c r="R221" s="44"/>
      <c r="S221" s="52"/>
      <c r="T221" s="44"/>
      <c r="U221" s="44"/>
      <c r="V221" s="52"/>
      <c r="W221" s="44"/>
      <c r="X221" s="52"/>
      <c r="Y221" s="44"/>
      <c r="Z221" s="44"/>
      <c r="AA221" s="52"/>
      <c r="AB221" s="44"/>
      <c r="AC221" s="52"/>
      <c r="AD221" s="44"/>
      <c r="AE221" s="44"/>
      <c r="AF221" s="51"/>
    </row>
    <row r="222" spans="1:32" ht="47.25" thickBot="1">
      <c r="A222" s="44" t="s">
        <v>45</v>
      </c>
      <c r="B222" s="45" t="s">
        <v>114</v>
      </c>
      <c r="C222" s="51">
        <v>35</v>
      </c>
      <c r="D222" s="51"/>
      <c r="E222" s="51"/>
      <c r="F222" s="51"/>
      <c r="G222" s="51"/>
      <c r="H222" s="51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</row>
    <row r="223" spans="1:32" ht="47.25" thickBot="1">
      <c r="A223" s="44" t="s">
        <v>45</v>
      </c>
      <c r="B223" s="45" t="s">
        <v>144</v>
      </c>
      <c r="C223" s="46"/>
      <c r="D223" s="51">
        <v>45</v>
      </c>
      <c r="E223" s="51"/>
      <c r="F223" s="51"/>
      <c r="G223" s="51"/>
      <c r="H223" s="51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</row>
    <row r="224" spans="1:32" ht="47.25" thickBot="1">
      <c r="A224" s="46"/>
      <c r="B224" s="48" t="s">
        <v>37</v>
      </c>
      <c r="C224" s="46">
        <f aca="true" t="shared" si="44" ref="C224:AF224">SUM(C216:C223)</f>
        <v>35</v>
      </c>
      <c r="D224" s="46">
        <f t="shared" si="44"/>
        <v>45</v>
      </c>
      <c r="E224" s="46">
        <f t="shared" si="44"/>
        <v>7</v>
      </c>
      <c r="F224" s="46">
        <f t="shared" si="44"/>
        <v>0</v>
      </c>
      <c r="G224" s="46">
        <f t="shared" si="44"/>
        <v>6</v>
      </c>
      <c r="H224" s="46">
        <f t="shared" si="44"/>
        <v>0</v>
      </c>
      <c r="I224" s="46">
        <f t="shared" si="44"/>
        <v>129</v>
      </c>
      <c r="J224" s="46">
        <f t="shared" si="44"/>
        <v>212</v>
      </c>
      <c r="K224" s="46">
        <f t="shared" si="44"/>
        <v>0</v>
      </c>
      <c r="L224" s="46">
        <f t="shared" si="44"/>
        <v>0</v>
      </c>
      <c r="M224" s="46">
        <f t="shared" si="44"/>
        <v>0</v>
      </c>
      <c r="N224" s="46">
        <f t="shared" si="44"/>
        <v>22</v>
      </c>
      <c r="O224" s="46">
        <f t="shared" si="44"/>
        <v>0</v>
      </c>
      <c r="P224" s="46">
        <f t="shared" si="44"/>
        <v>16.25</v>
      </c>
      <c r="Q224" s="46">
        <f t="shared" si="44"/>
        <v>13</v>
      </c>
      <c r="R224" s="46">
        <f t="shared" si="44"/>
        <v>11</v>
      </c>
      <c r="S224" s="46">
        <f t="shared" si="44"/>
        <v>3</v>
      </c>
      <c r="T224" s="46">
        <f t="shared" si="44"/>
        <v>0</v>
      </c>
      <c r="U224" s="46">
        <f t="shared" si="44"/>
        <v>0</v>
      </c>
      <c r="V224" s="46">
        <f t="shared" si="44"/>
        <v>0</v>
      </c>
      <c r="W224" s="46">
        <f t="shared" si="44"/>
        <v>61</v>
      </c>
      <c r="X224" s="46">
        <f t="shared" si="44"/>
        <v>0</v>
      </c>
      <c r="Y224" s="46">
        <f t="shared" si="44"/>
        <v>46</v>
      </c>
      <c r="Z224" s="46">
        <f t="shared" si="44"/>
        <v>7</v>
      </c>
      <c r="AA224" s="46">
        <f t="shared" si="44"/>
        <v>0</v>
      </c>
      <c r="AB224" s="46">
        <f t="shared" si="44"/>
        <v>0</v>
      </c>
      <c r="AC224" s="46">
        <f t="shared" si="44"/>
        <v>0</v>
      </c>
      <c r="AD224" s="46">
        <f t="shared" si="44"/>
        <v>0</v>
      </c>
      <c r="AE224" s="46">
        <f t="shared" si="44"/>
        <v>0</v>
      </c>
      <c r="AF224" s="46">
        <f t="shared" si="44"/>
        <v>0</v>
      </c>
    </row>
    <row r="225" spans="1:32" ht="46.5" customHeight="1" thickBot="1">
      <c r="A225" s="156" t="s">
        <v>207</v>
      </c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57"/>
    </row>
    <row r="226" spans="1:32" ht="47.25" thickBot="1">
      <c r="A226" s="46">
        <v>55</v>
      </c>
      <c r="B226" s="45" t="s">
        <v>131</v>
      </c>
      <c r="C226" s="46"/>
      <c r="D226" s="51"/>
      <c r="E226" s="51">
        <v>20</v>
      </c>
      <c r="F226" s="51"/>
      <c r="G226" s="51"/>
      <c r="H226" s="51"/>
      <c r="I226" s="57"/>
      <c r="J226" s="57"/>
      <c r="K226" s="57"/>
      <c r="L226" s="57"/>
      <c r="M226" s="57"/>
      <c r="N226" s="57"/>
      <c r="O226" s="57"/>
      <c r="P226" s="57">
        <v>15</v>
      </c>
      <c r="Q226" s="57">
        <v>4</v>
      </c>
      <c r="R226" s="57"/>
      <c r="S226" s="57">
        <v>5</v>
      </c>
      <c r="T226" s="57">
        <v>20</v>
      </c>
      <c r="U226" s="57">
        <v>136</v>
      </c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</row>
    <row r="227" spans="1:32" ht="47.25" thickBot="1">
      <c r="A227" s="46">
        <v>13</v>
      </c>
      <c r="B227" s="50" t="s">
        <v>9</v>
      </c>
      <c r="C227" s="46"/>
      <c r="D227" s="57"/>
      <c r="E227" s="57"/>
      <c r="F227" s="57"/>
      <c r="G227" s="57"/>
      <c r="H227" s="51"/>
      <c r="I227" s="51"/>
      <c r="J227" s="51"/>
      <c r="K227" s="51"/>
      <c r="L227" s="51"/>
      <c r="M227" s="51"/>
      <c r="N227" s="51"/>
      <c r="O227" s="52"/>
      <c r="P227" s="46">
        <v>12</v>
      </c>
      <c r="Q227" s="52"/>
      <c r="R227" s="46"/>
      <c r="S227" s="52"/>
      <c r="T227" s="46"/>
      <c r="U227" s="46"/>
      <c r="V227" s="52"/>
      <c r="W227" s="46"/>
      <c r="X227" s="52"/>
      <c r="Y227" s="46"/>
      <c r="Z227" s="46"/>
      <c r="AA227" s="52"/>
      <c r="AB227" s="46">
        <v>0.6</v>
      </c>
      <c r="AC227" s="46"/>
      <c r="AD227" s="52"/>
      <c r="AE227" s="46"/>
      <c r="AF227" s="51"/>
    </row>
    <row r="228" spans="1:32" ht="47.25" thickBot="1">
      <c r="A228" s="44">
        <v>21</v>
      </c>
      <c r="B228" s="73" t="s">
        <v>38</v>
      </c>
      <c r="C228" s="44"/>
      <c r="D228" s="51"/>
      <c r="E228" s="44"/>
      <c r="F228" s="44"/>
      <c r="G228" s="44"/>
      <c r="H228" s="51"/>
      <c r="I228" s="51"/>
      <c r="J228" s="51"/>
      <c r="K228" s="51"/>
      <c r="L228" s="51"/>
      <c r="M228" s="51"/>
      <c r="N228" s="51"/>
      <c r="O228" s="52"/>
      <c r="P228" s="46"/>
      <c r="Q228" s="52"/>
      <c r="R228" s="46"/>
      <c r="S228" s="52"/>
      <c r="T228" s="46">
        <v>154</v>
      </c>
      <c r="U228" s="52"/>
      <c r="V228" s="46"/>
      <c r="W228" s="46"/>
      <c r="X228" s="46"/>
      <c r="Y228" s="52"/>
      <c r="Z228" s="46"/>
      <c r="AA228" s="52"/>
      <c r="AB228" s="46"/>
      <c r="AC228" s="46"/>
      <c r="AD228" s="52"/>
      <c r="AE228" s="46"/>
      <c r="AF228" s="51"/>
    </row>
    <row r="229" spans="1:32" ht="186.75" thickBot="1">
      <c r="A229" s="44" t="s">
        <v>45</v>
      </c>
      <c r="B229" s="45" t="s">
        <v>134</v>
      </c>
      <c r="C229" s="46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>
        <v>45</v>
      </c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</row>
    <row r="230" spans="1:32" ht="47.25" thickBot="1">
      <c r="A230" s="69"/>
      <c r="B230" s="45" t="s">
        <v>8</v>
      </c>
      <c r="C230" s="46">
        <f>SUM(C226:C229)</f>
        <v>0</v>
      </c>
      <c r="D230" s="46">
        <f aca="true" t="shared" si="45" ref="D230:AF230">SUM(D226:D229)</f>
        <v>0</v>
      </c>
      <c r="E230" s="46">
        <f t="shared" si="45"/>
        <v>20</v>
      </c>
      <c r="F230" s="46">
        <f t="shared" si="45"/>
        <v>0</v>
      </c>
      <c r="G230" s="46">
        <f t="shared" si="45"/>
        <v>0</v>
      </c>
      <c r="H230" s="46">
        <f t="shared" si="45"/>
        <v>0</v>
      </c>
      <c r="I230" s="46">
        <f t="shared" si="45"/>
        <v>0</v>
      </c>
      <c r="J230" s="46">
        <f t="shared" si="45"/>
        <v>0</v>
      </c>
      <c r="K230" s="46">
        <f t="shared" si="45"/>
        <v>0</v>
      </c>
      <c r="L230" s="46">
        <f t="shared" si="45"/>
        <v>0</v>
      </c>
      <c r="M230" s="46">
        <f t="shared" si="45"/>
        <v>0</v>
      </c>
      <c r="N230" s="46">
        <f t="shared" si="45"/>
        <v>0</v>
      </c>
      <c r="O230" s="46">
        <f t="shared" si="45"/>
        <v>45</v>
      </c>
      <c r="P230" s="46">
        <f t="shared" si="45"/>
        <v>27</v>
      </c>
      <c r="Q230" s="46">
        <f t="shared" si="45"/>
        <v>4</v>
      </c>
      <c r="R230" s="46">
        <f t="shared" si="45"/>
        <v>0</v>
      </c>
      <c r="S230" s="46">
        <f t="shared" si="45"/>
        <v>5</v>
      </c>
      <c r="T230" s="46">
        <f t="shared" si="45"/>
        <v>174</v>
      </c>
      <c r="U230" s="46">
        <f t="shared" si="45"/>
        <v>136</v>
      </c>
      <c r="V230" s="46">
        <f t="shared" si="45"/>
        <v>0</v>
      </c>
      <c r="W230" s="46">
        <f t="shared" si="45"/>
        <v>0</v>
      </c>
      <c r="X230" s="46">
        <f t="shared" si="45"/>
        <v>0</v>
      </c>
      <c r="Y230" s="46">
        <f t="shared" si="45"/>
        <v>0</v>
      </c>
      <c r="Z230" s="46">
        <f t="shared" si="45"/>
        <v>0</v>
      </c>
      <c r="AA230" s="46">
        <f t="shared" si="45"/>
        <v>0</v>
      </c>
      <c r="AB230" s="46">
        <f t="shared" si="45"/>
        <v>0.6</v>
      </c>
      <c r="AC230" s="46">
        <f t="shared" si="45"/>
        <v>0</v>
      </c>
      <c r="AD230" s="46">
        <f t="shared" si="45"/>
        <v>0</v>
      </c>
      <c r="AE230" s="46">
        <f t="shared" si="45"/>
        <v>0</v>
      </c>
      <c r="AF230" s="46">
        <f t="shared" si="45"/>
        <v>0</v>
      </c>
    </row>
    <row r="231" spans="1:32" ht="93.75" thickBot="1">
      <c r="A231" s="95"/>
      <c r="B231" s="45" t="s">
        <v>145</v>
      </c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>
        <v>6</v>
      </c>
      <c r="AF231" s="46"/>
    </row>
    <row r="232" spans="1:32" ht="47.25" thickBot="1">
      <c r="A232" s="44"/>
      <c r="B232" s="74" t="s">
        <v>12</v>
      </c>
      <c r="C232" s="46">
        <f>SUM(C209+C214+C224+C230)</f>
        <v>65</v>
      </c>
      <c r="D232" s="46">
        <f aca="true" t="shared" si="46" ref="D232:AF232">SUM(D209+D214+D224+D230)</f>
        <v>45</v>
      </c>
      <c r="E232" s="46">
        <f t="shared" si="46"/>
        <v>27</v>
      </c>
      <c r="F232" s="46">
        <f t="shared" si="46"/>
        <v>0</v>
      </c>
      <c r="G232" s="46">
        <f t="shared" si="46"/>
        <v>26</v>
      </c>
      <c r="H232" s="46">
        <f t="shared" si="46"/>
        <v>0</v>
      </c>
      <c r="I232" s="46">
        <f t="shared" si="46"/>
        <v>129</v>
      </c>
      <c r="J232" s="46">
        <f t="shared" si="46"/>
        <v>212</v>
      </c>
      <c r="K232" s="46">
        <f t="shared" si="46"/>
        <v>90</v>
      </c>
      <c r="L232" s="46">
        <f t="shared" si="46"/>
        <v>0</v>
      </c>
      <c r="M232" s="46">
        <f t="shared" si="46"/>
        <v>110</v>
      </c>
      <c r="N232" s="46">
        <f t="shared" si="46"/>
        <v>22</v>
      </c>
      <c r="O232" s="46">
        <f t="shared" si="46"/>
        <v>53</v>
      </c>
      <c r="P232" s="46">
        <f t="shared" si="46"/>
        <v>50.65</v>
      </c>
      <c r="Q232" s="46">
        <f t="shared" si="46"/>
        <v>25</v>
      </c>
      <c r="R232" s="46">
        <f t="shared" si="46"/>
        <v>11</v>
      </c>
      <c r="S232" s="46">
        <f t="shared" si="46"/>
        <v>8</v>
      </c>
      <c r="T232" s="46">
        <f t="shared" si="46"/>
        <v>359</v>
      </c>
      <c r="U232" s="46">
        <f t="shared" si="46"/>
        <v>136</v>
      </c>
      <c r="V232" s="46">
        <f t="shared" si="46"/>
        <v>0</v>
      </c>
      <c r="W232" s="46">
        <f t="shared" si="46"/>
        <v>61</v>
      </c>
      <c r="X232" s="46">
        <f t="shared" si="46"/>
        <v>0</v>
      </c>
      <c r="Y232" s="46">
        <f t="shared" si="46"/>
        <v>46</v>
      </c>
      <c r="Z232" s="46">
        <f t="shared" si="46"/>
        <v>7</v>
      </c>
      <c r="AA232" s="46">
        <f t="shared" si="46"/>
        <v>14.9</v>
      </c>
      <c r="AB232" s="46">
        <f t="shared" si="46"/>
        <v>0.6</v>
      </c>
      <c r="AC232" s="46">
        <f t="shared" si="46"/>
        <v>2.4</v>
      </c>
      <c r="AD232" s="46">
        <f t="shared" si="46"/>
        <v>0</v>
      </c>
      <c r="AE232" s="46">
        <v>6</v>
      </c>
      <c r="AF232" s="46">
        <f t="shared" si="46"/>
        <v>0</v>
      </c>
    </row>
    <row r="233" spans="1:32" ht="47.25" thickBot="1">
      <c r="A233" s="165" t="s">
        <v>65</v>
      </c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7"/>
    </row>
    <row r="234" spans="1:32" ht="47.25" thickBot="1">
      <c r="A234" s="165" t="s">
        <v>22</v>
      </c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7"/>
    </row>
    <row r="235" spans="1:32" ht="45.75" customHeight="1">
      <c r="A235" s="168" t="s">
        <v>39</v>
      </c>
      <c r="B235" s="170" t="s">
        <v>26</v>
      </c>
      <c r="C235" s="154" t="s">
        <v>114</v>
      </c>
      <c r="D235" s="154" t="s">
        <v>115</v>
      </c>
      <c r="E235" s="154" t="s">
        <v>116</v>
      </c>
      <c r="F235" s="154" t="s">
        <v>117</v>
      </c>
      <c r="G235" s="154" t="s">
        <v>109</v>
      </c>
      <c r="H235" s="154" t="s">
        <v>118</v>
      </c>
      <c r="I235" s="154" t="s">
        <v>246</v>
      </c>
      <c r="J235" s="154" t="s">
        <v>247</v>
      </c>
      <c r="K235" s="90"/>
      <c r="L235" s="90"/>
      <c r="M235" s="154" t="s">
        <v>217</v>
      </c>
      <c r="N235" s="154" t="s">
        <v>121</v>
      </c>
      <c r="O235" s="154" t="s">
        <v>81</v>
      </c>
      <c r="P235" s="154" t="s">
        <v>82</v>
      </c>
      <c r="Q235" s="154" t="s">
        <v>122</v>
      </c>
      <c r="R235" s="154" t="s">
        <v>83</v>
      </c>
      <c r="S235" s="154" t="s">
        <v>123</v>
      </c>
      <c r="T235" s="154" t="s">
        <v>126</v>
      </c>
      <c r="U235" s="154" t="s">
        <v>143</v>
      </c>
      <c r="V235" s="90"/>
      <c r="W235" s="154" t="s">
        <v>248</v>
      </c>
      <c r="X235" s="154" t="s">
        <v>249</v>
      </c>
      <c r="Y235" s="154" t="s">
        <v>250</v>
      </c>
      <c r="Z235" s="154" t="s">
        <v>84</v>
      </c>
      <c r="AA235" s="154" t="s">
        <v>85</v>
      </c>
      <c r="AB235" s="154" t="s">
        <v>89</v>
      </c>
      <c r="AC235" s="90"/>
      <c r="AD235" s="154" t="s">
        <v>124</v>
      </c>
      <c r="AE235" s="154" t="s">
        <v>86</v>
      </c>
      <c r="AF235" s="154" t="s">
        <v>125</v>
      </c>
    </row>
    <row r="236" spans="1:32" ht="397.5" customHeight="1" thickBot="1">
      <c r="A236" s="169"/>
      <c r="B236" s="171"/>
      <c r="C236" s="155"/>
      <c r="D236" s="155"/>
      <c r="E236" s="155"/>
      <c r="F236" s="155"/>
      <c r="G236" s="155"/>
      <c r="H236" s="155"/>
      <c r="I236" s="155"/>
      <c r="J236" s="155"/>
      <c r="K236" s="91" t="s">
        <v>119</v>
      </c>
      <c r="L236" s="91" t="s">
        <v>120</v>
      </c>
      <c r="M236" s="155"/>
      <c r="N236" s="155"/>
      <c r="O236" s="155"/>
      <c r="P236" s="155"/>
      <c r="Q236" s="155"/>
      <c r="R236" s="155"/>
      <c r="S236" s="155"/>
      <c r="T236" s="155"/>
      <c r="U236" s="155"/>
      <c r="V236" s="91" t="s">
        <v>111</v>
      </c>
      <c r="W236" s="155"/>
      <c r="X236" s="155"/>
      <c r="Y236" s="155"/>
      <c r="Z236" s="155"/>
      <c r="AA236" s="155"/>
      <c r="AB236" s="155"/>
      <c r="AC236" s="91" t="s">
        <v>110</v>
      </c>
      <c r="AD236" s="155"/>
      <c r="AE236" s="155"/>
      <c r="AF236" s="155"/>
    </row>
    <row r="237" spans="1:32" ht="47.25" thickBot="1">
      <c r="A237" s="95">
        <v>1</v>
      </c>
      <c r="B237" s="68">
        <v>2</v>
      </c>
      <c r="C237" s="69" t="s">
        <v>112</v>
      </c>
      <c r="D237" s="70">
        <v>4</v>
      </c>
      <c r="E237" s="69">
        <v>5</v>
      </c>
      <c r="F237" s="69">
        <v>6</v>
      </c>
      <c r="G237" s="69">
        <v>7</v>
      </c>
      <c r="H237" s="69">
        <v>8</v>
      </c>
      <c r="I237" s="69" t="s">
        <v>113</v>
      </c>
      <c r="J237" s="70">
        <v>10</v>
      </c>
      <c r="K237" s="69">
        <v>11</v>
      </c>
      <c r="L237" s="85">
        <v>12</v>
      </c>
      <c r="M237" s="69">
        <v>13</v>
      </c>
      <c r="N237" s="69">
        <v>14</v>
      </c>
      <c r="O237" s="69">
        <v>15</v>
      </c>
      <c r="P237" s="69">
        <v>16</v>
      </c>
      <c r="Q237" s="94">
        <v>17</v>
      </c>
      <c r="R237" s="69">
        <v>18</v>
      </c>
      <c r="S237" s="94">
        <v>19</v>
      </c>
      <c r="T237" s="69">
        <v>20</v>
      </c>
      <c r="U237" s="94">
        <v>21</v>
      </c>
      <c r="V237" s="94">
        <v>22</v>
      </c>
      <c r="W237" s="69">
        <v>23</v>
      </c>
      <c r="X237" s="69">
        <v>24</v>
      </c>
      <c r="Y237" s="94">
        <v>25</v>
      </c>
      <c r="Z237" s="69">
        <v>26</v>
      </c>
      <c r="AA237" s="69">
        <v>27</v>
      </c>
      <c r="AB237" s="69">
        <v>28</v>
      </c>
      <c r="AC237" s="94">
        <v>29</v>
      </c>
      <c r="AD237" s="69">
        <v>30</v>
      </c>
      <c r="AE237" s="69">
        <v>31</v>
      </c>
      <c r="AF237" s="92">
        <v>32</v>
      </c>
    </row>
    <row r="238" spans="1:32" ht="47.25" thickBot="1">
      <c r="A238" s="165" t="s">
        <v>7</v>
      </c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7"/>
    </row>
    <row r="239" spans="1:32" ht="47.25" thickBot="1">
      <c r="A239" s="46">
        <v>37</v>
      </c>
      <c r="B239" s="48" t="s">
        <v>53</v>
      </c>
      <c r="C239" s="46"/>
      <c r="D239" s="57"/>
      <c r="E239" s="57"/>
      <c r="F239" s="57"/>
      <c r="G239" s="57"/>
      <c r="H239" s="51"/>
      <c r="I239" s="51"/>
      <c r="J239" s="51"/>
      <c r="K239" s="51"/>
      <c r="L239" s="51"/>
      <c r="M239" s="51"/>
      <c r="N239" s="51"/>
      <c r="O239" s="51"/>
      <c r="P239" s="51"/>
      <c r="Q239" s="51">
        <v>5</v>
      </c>
      <c r="R239" s="51"/>
      <c r="S239" s="51">
        <v>62</v>
      </c>
      <c r="T239" s="51">
        <v>38</v>
      </c>
      <c r="U239" s="52"/>
      <c r="V239" s="46"/>
      <c r="W239" s="52"/>
      <c r="X239" s="46"/>
      <c r="Y239" s="51"/>
      <c r="Z239" s="51"/>
      <c r="AA239" s="51"/>
      <c r="AB239" s="51"/>
      <c r="AC239" s="51"/>
      <c r="AD239" s="51"/>
      <c r="AE239" s="51"/>
      <c r="AF239" s="51"/>
    </row>
    <row r="240" spans="1:32" ht="93.75" thickBot="1">
      <c r="A240" s="46">
        <v>38</v>
      </c>
      <c r="B240" s="45" t="s">
        <v>137</v>
      </c>
      <c r="C240" s="46"/>
      <c r="D240" s="51"/>
      <c r="E240" s="51"/>
      <c r="F240" s="51"/>
      <c r="G240" s="51"/>
      <c r="H240" s="51"/>
      <c r="I240" s="57"/>
      <c r="J240" s="57">
        <v>60</v>
      </c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</row>
    <row r="241" spans="1:32" ht="47.25" thickBot="1">
      <c r="A241" s="44">
        <v>102</v>
      </c>
      <c r="B241" s="45" t="s">
        <v>18</v>
      </c>
      <c r="C241" s="46"/>
      <c r="D241" s="57"/>
      <c r="E241" s="57"/>
      <c r="F241" s="57"/>
      <c r="G241" s="57"/>
      <c r="H241" s="51"/>
      <c r="I241" s="51"/>
      <c r="J241" s="51"/>
      <c r="K241" s="51"/>
      <c r="L241" s="51"/>
      <c r="M241" s="51"/>
      <c r="N241" s="51"/>
      <c r="O241" s="52"/>
      <c r="P241" s="46">
        <v>12</v>
      </c>
      <c r="Q241" s="52"/>
      <c r="R241" s="46"/>
      <c r="S241" s="52"/>
      <c r="T241" s="46">
        <v>84</v>
      </c>
      <c r="U241" s="52"/>
      <c r="V241" s="44"/>
      <c r="W241" s="46"/>
      <c r="X241" s="44"/>
      <c r="Y241" s="52"/>
      <c r="Z241" s="46"/>
      <c r="AA241" s="46"/>
      <c r="AB241" s="52"/>
      <c r="AC241" s="44"/>
      <c r="AD241" s="46">
        <v>1.2</v>
      </c>
      <c r="AE241" s="52"/>
      <c r="AF241" s="46"/>
    </row>
    <row r="242" spans="1:32" ht="47.25" thickBot="1">
      <c r="A242" s="44">
        <v>16</v>
      </c>
      <c r="B242" s="45" t="s">
        <v>54</v>
      </c>
      <c r="C242" s="46" t="s">
        <v>79</v>
      </c>
      <c r="D242" s="57"/>
      <c r="E242" s="57"/>
      <c r="F242" s="57"/>
      <c r="G242" s="57"/>
      <c r="H242" s="51"/>
      <c r="I242" s="51"/>
      <c r="J242" s="51"/>
      <c r="K242" s="51"/>
      <c r="L242" s="51"/>
      <c r="M242" s="51"/>
      <c r="N242" s="51"/>
      <c r="O242" s="52"/>
      <c r="P242" s="46"/>
      <c r="Q242" s="46">
        <v>5</v>
      </c>
      <c r="R242" s="46"/>
      <c r="S242" s="52"/>
      <c r="T242" s="46"/>
      <c r="U242" s="52"/>
      <c r="V242" s="46"/>
      <c r="W242" s="46"/>
      <c r="X242" s="52"/>
      <c r="Y242" s="46"/>
      <c r="Z242" s="46"/>
      <c r="AA242" s="46"/>
      <c r="AB242" s="52"/>
      <c r="AC242" s="44"/>
      <c r="AD242" s="46"/>
      <c r="AE242" s="52"/>
      <c r="AF242" s="46"/>
    </row>
    <row r="243" spans="1:32" ht="47.25" thickBot="1">
      <c r="A243" s="44"/>
      <c r="B243" s="45" t="s">
        <v>8</v>
      </c>
      <c r="C243" s="46">
        <f>SUM(C239+C240+C241+C242)</f>
        <v>30</v>
      </c>
      <c r="D243" s="46">
        <f aca="true" t="shared" si="47" ref="D243:AF243">SUM(D239+D240+D241+D242)</f>
        <v>0</v>
      </c>
      <c r="E243" s="46">
        <f t="shared" si="47"/>
        <v>0</v>
      </c>
      <c r="F243" s="46">
        <f t="shared" si="47"/>
        <v>0</v>
      </c>
      <c r="G243" s="46">
        <f t="shared" si="47"/>
        <v>0</v>
      </c>
      <c r="H243" s="46">
        <f t="shared" si="47"/>
        <v>0</v>
      </c>
      <c r="I243" s="46">
        <f t="shared" si="47"/>
        <v>0</v>
      </c>
      <c r="J243" s="46">
        <f t="shared" si="47"/>
        <v>60</v>
      </c>
      <c r="K243" s="46">
        <f t="shared" si="47"/>
        <v>0</v>
      </c>
      <c r="L243" s="46">
        <f t="shared" si="47"/>
        <v>0</v>
      </c>
      <c r="M243" s="46">
        <f t="shared" si="47"/>
        <v>0</v>
      </c>
      <c r="N243" s="46">
        <f t="shared" si="47"/>
        <v>0</v>
      </c>
      <c r="O243" s="46">
        <f t="shared" si="47"/>
        <v>0</v>
      </c>
      <c r="P243" s="46">
        <f t="shared" si="47"/>
        <v>12</v>
      </c>
      <c r="Q243" s="46">
        <f t="shared" si="47"/>
        <v>10</v>
      </c>
      <c r="R243" s="46">
        <f t="shared" si="47"/>
        <v>0</v>
      </c>
      <c r="S243" s="46">
        <f t="shared" si="47"/>
        <v>62</v>
      </c>
      <c r="T243" s="46">
        <f t="shared" si="47"/>
        <v>122</v>
      </c>
      <c r="U243" s="46">
        <f t="shared" si="47"/>
        <v>0</v>
      </c>
      <c r="V243" s="46">
        <f t="shared" si="47"/>
        <v>0</v>
      </c>
      <c r="W243" s="46">
        <f t="shared" si="47"/>
        <v>0</v>
      </c>
      <c r="X243" s="46">
        <f t="shared" si="47"/>
        <v>0</v>
      </c>
      <c r="Y243" s="46">
        <f t="shared" si="47"/>
        <v>0</v>
      </c>
      <c r="Z243" s="46">
        <f t="shared" si="47"/>
        <v>0</v>
      </c>
      <c r="AA243" s="46">
        <f t="shared" si="47"/>
        <v>0</v>
      </c>
      <c r="AB243" s="46">
        <f t="shared" si="47"/>
        <v>0</v>
      </c>
      <c r="AC243" s="46">
        <f t="shared" si="47"/>
        <v>0</v>
      </c>
      <c r="AD243" s="46">
        <f t="shared" si="47"/>
        <v>1.2</v>
      </c>
      <c r="AE243" s="46">
        <f t="shared" si="47"/>
        <v>0</v>
      </c>
      <c r="AF243" s="46">
        <f t="shared" si="47"/>
        <v>0</v>
      </c>
    </row>
    <row r="244" spans="1:32" ht="47.25" thickBot="1">
      <c r="A244" s="156" t="s">
        <v>107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57"/>
    </row>
    <row r="245" spans="1:32" ht="47.25" thickBot="1">
      <c r="A245" s="44" t="s">
        <v>45</v>
      </c>
      <c r="B245" s="48" t="s">
        <v>108</v>
      </c>
      <c r="C245" s="46"/>
      <c r="D245" s="51"/>
      <c r="E245" s="51"/>
      <c r="F245" s="51"/>
      <c r="G245" s="51"/>
      <c r="H245" s="51"/>
      <c r="I245" s="51"/>
      <c r="J245" s="51"/>
      <c r="K245" s="51">
        <v>90</v>
      </c>
      <c r="L245" s="51"/>
      <c r="M245" s="51"/>
      <c r="N245" s="51"/>
      <c r="O245" s="52"/>
      <c r="P245" s="46"/>
      <c r="Q245" s="52"/>
      <c r="R245" s="46"/>
      <c r="S245" s="52"/>
      <c r="T245" s="46"/>
      <c r="U245" s="52"/>
      <c r="V245" s="46"/>
      <c r="W245" s="46"/>
      <c r="X245" s="52"/>
      <c r="Y245" s="46"/>
      <c r="Z245" s="46"/>
      <c r="AA245" s="52"/>
      <c r="AB245" s="46"/>
      <c r="AC245" s="52"/>
      <c r="AD245" s="46"/>
      <c r="AE245" s="46"/>
      <c r="AF245" s="51"/>
    </row>
    <row r="246" spans="1:32" ht="47.25" thickBot="1">
      <c r="A246" s="44" t="s">
        <v>45</v>
      </c>
      <c r="B246" s="45" t="s">
        <v>78</v>
      </c>
      <c r="C246" s="46"/>
      <c r="D246" s="57"/>
      <c r="E246" s="57"/>
      <c r="F246" s="57"/>
      <c r="G246" s="57"/>
      <c r="H246" s="51"/>
      <c r="I246" s="51"/>
      <c r="J246" s="51"/>
      <c r="K246" s="51"/>
      <c r="L246" s="51"/>
      <c r="M246" s="51">
        <v>110</v>
      </c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46"/>
      <c r="AC246" s="51"/>
      <c r="AD246" s="51"/>
      <c r="AE246" s="51"/>
      <c r="AF246" s="51"/>
    </row>
    <row r="247" spans="1:32" ht="47.25" thickBot="1">
      <c r="A247" s="44"/>
      <c r="B247" s="45" t="s">
        <v>37</v>
      </c>
      <c r="C247" s="51">
        <f>SUM(C245:C246)</f>
        <v>0</v>
      </c>
      <c r="D247" s="51">
        <f aca="true" t="shared" si="48" ref="D247:N247">SUM(D245:D246)</f>
        <v>0</v>
      </c>
      <c r="E247" s="51">
        <f t="shared" si="48"/>
        <v>0</v>
      </c>
      <c r="F247" s="51">
        <f t="shared" si="48"/>
        <v>0</v>
      </c>
      <c r="G247" s="51">
        <f t="shared" si="48"/>
        <v>0</v>
      </c>
      <c r="H247" s="51">
        <f t="shared" si="48"/>
        <v>0</v>
      </c>
      <c r="I247" s="51">
        <f t="shared" si="48"/>
        <v>0</v>
      </c>
      <c r="J247" s="51">
        <f t="shared" si="48"/>
        <v>0</v>
      </c>
      <c r="K247" s="51">
        <f t="shared" si="48"/>
        <v>90</v>
      </c>
      <c r="L247" s="51">
        <f t="shared" si="48"/>
        <v>0</v>
      </c>
      <c r="M247" s="51">
        <f t="shared" si="48"/>
        <v>110</v>
      </c>
      <c r="N247" s="51">
        <f t="shared" si="48"/>
        <v>0</v>
      </c>
      <c r="O247" s="51">
        <f aca="true" t="shared" si="49" ref="O247:AE247">SUM(O245)</f>
        <v>0</v>
      </c>
      <c r="P247" s="51">
        <f t="shared" si="49"/>
        <v>0</v>
      </c>
      <c r="Q247" s="51">
        <f t="shared" si="49"/>
        <v>0</v>
      </c>
      <c r="R247" s="51">
        <f t="shared" si="49"/>
        <v>0</v>
      </c>
      <c r="S247" s="51">
        <f t="shared" si="49"/>
        <v>0</v>
      </c>
      <c r="T247" s="51">
        <f t="shared" si="49"/>
        <v>0</v>
      </c>
      <c r="U247" s="51">
        <f t="shared" si="49"/>
        <v>0</v>
      </c>
      <c r="V247" s="51">
        <f t="shared" si="49"/>
        <v>0</v>
      </c>
      <c r="W247" s="51">
        <f t="shared" si="49"/>
        <v>0</v>
      </c>
      <c r="X247" s="51">
        <f t="shared" si="49"/>
        <v>0</v>
      </c>
      <c r="Y247" s="51">
        <f t="shared" si="49"/>
        <v>0</v>
      </c>
      <c r="Z247" s="51">
        <f t="shared" si="49"/>
        <v>0</v>
      </c>
      <c r="AA247" s="51">
        <f t="shared" si="49"/>
        <v>0</v>
      </c>
      <c r="AB247" s="51">
        <f t="shared" si="49"/>
        <v>0</v>
      </c>
      <c r="AC247" s="51">
        <f t="shared" si="49"/>
        <v>0</v>
      </c>
      <c r="AD247" s="51">
        <f t="shared" si="49"/>
        <v>0</v>
      </c>
      <c r="AE247" s="51">
        <f t="shared" si="49"/>
        <v>0</v>
      </c>
      <c r="AF247" s="51">
        <f>SUM(AF245)</f>
        <v>0</v>
      </c>
    </row>
    <row r="248" spans="1:32" ht="47.25" thickBot="1">
      <c r="A248" s="165" t="s">
        <v>10</v>
      </c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7"/>
    </row>
    <row r="249" spans="1:32" ht="93.75" thickBot="1">
      <c r="A249" s="46">
        <v>83</v>
      </c>
      <c r="B249" s="47" t="s">
        <v>195</v>
      </c>
      <c r="C249" s="46"/>
      <c r="D249" s="51"/>
      <c r="E249" s="51"/>
      <c r="F249" s="51"/>
      <c r="G249" s="51"/>
      <c r="H249" s="51"/>
      <c r="I249" s="51"/>
      <c r="J249" s="51">
        <v>56</v>
      </c>
      <c r="K249" s="51"/>
      <c r="L249" s="51"/>
      <c r="M249" s="51"/>
      <c r="N249" s="51"/>
      <c r="O249" s="52"/>
      <c r="P249" s="44"/>
      <c r="Q249" s="52"/>
      <c r="R249" s="44">
        <v>5</v>
      </c>
      <c r="S249" s="52"/>
      <c r="T249" s="44"/>
      <c r="U249" s="52"/>
      <c r="V249" s="46"/>
      <c r="W249" s="44"/>
      <c r="X249" s="52"/>
      <c r="Y249" s="46"/>
      <c r="Z249" s="44"/>
      <c r="AA249" s="52"/>
      <c r="AB249" s="44"/>
      <c r="AC249" s="46"/>
      <c r="AD249" s="52"/>
      <c r="AE249" s="44"/>
      <c r="AF249" s="92"/>
    </row>
    <row r="250" spans="1:32" ht="93.75" thickBot="1">
      <c r="A250" s="44">
        <v>41</v>
      </c>
      <c r="B250" s="45" t="s">
        <v>44</v>
      </c>
      <c r="C250" s="46"/>
      <c r="D250" s="51"/>
      <c r="E250" s="51"/>
      <c r="F250" s="51"/>
      <c r="G250" s="51"/>
      <c r="H250" s="51"/>
      <c r="I250" s="51">
        <v>86</v>
      </c>
      <c r="J250" s="51">
        <v>17</v>
      </c>
      <c r="K250" s="51"/>
      <c r="L250" s="51"/>
      <c r="M250" s="51"/>
      <c r="N250" s="51"/>
      <c r="O250" s="44"/>
      <c r="P250" s="52"/>
      <c r="Q250" s="44">
        <v>2</v>
      </c>
      <c r="R250" s="52"/>
      <c r="S250" s="44">
        <v>3</v>
      </c>
      <c r="T250" s="52"/>
      <c r="U250" s="44"/>
      <c r="V250" s="44"/>
      <c r="W250" s="44">
        <v>40</v>
      </c>
      <c r="X250" s="52"/>
      <c r="Y250" s="44"/>
      <c r="Z250" s="52"/>
      <c r="AA250" s="66"/>
      <c r="AB250" s="44"/>
      <c r="AC250" s="52"/>
      <c r="AD250" s="44"/>
      <c r="AE250" s="44"/>
      <c r="AF250" s="51"/>
    </row>
    <row r="251" spans="1:32" ht="47.25" thickBot="1">
      <c r="A251" s="44">
        <v>19</v>
      </c>
      <c r="B251" s="45" t="s">
        <v>72</v>
      </c>
      <c r="C251" s="46"/>
      <c r="D251" s="57"/>
      <c r="E251" s="57"/>
      <c r="F251" s="57"/>
      <c r="G251" s="57"/>
      <c r="H251" s="51"/>
      <c r="I251" s="51">
        <v>90</v>
      </c>
      <c r="J251" s="51">
        <v>38</v>
      </c>
      <c r="K251" s="51"/>
      <c r="L251" s="51"/>
      <c r="M251" s="51"/>
      <c r="N251" s="51"/>
      <c r="O251" s="52"/>
      <c r="P251" s="46"/>
      <c r="Q251" s="52"/>
      <c r="R251" s="46">
        <v>4</v>
      </c>
      <c r="S251" s="52"/>
      <c r="T251" s="46"/>
      <c r="U251" s="52"/>
      <c r="V251" s="44"/>
      <c r="W251" s="46">
        <v>101</v>
      </c>
      <c r="X251" s="52"/>
      <c r="Y251" s="44"/>
      <c r="Z251" s="46"/>
      <c r="AA251" s="46"/>
      <c r="AB251" s="52"/>
      <c r="AC251" s="44"/>
      <c r="AD251" s="46"/>
      <c r="AE251" s="52"/>
      <c r="AF251" s="46"/>
    </row>
    <row r="252" spans="1:32" ht="47.25" thickBot="1">
      <c r="A252" s="44">
        <v>20</v>
      </c>
      <c r="B252" s="45" t="s">
        <v>43</v>
      </c>
      <c r="C252" s="46"/>
      <c r="D252" s="57"/>
      <c r="E252" s="57"/>
      <c r="F252" s="57">
        <v>7.5</v>
      </c>
      <c r="G252" s="57"/>
      <c r="H252" s="51"/>
      <c r="I252" s="51"/>
      <c r="J252" s="51"/>
      <c r="K252" s="51"/>
      <c r="L252" s="51"/>
      <c r="M252" s="51">
        <v>2</v>
      </c>
      <c r="N252" s="51"/>
      <c r="O252" s="52"/>
      <c r="P252" s="46">
        <v>11</v>
      </c>
      <c r="Q252" s="52"/>
      <c r="R252" s="44"/>
      <c r="S252" s="52"/>
      <c r="T252" s="44"/>
      <c r="U252" s="44"/>
      <c r="V252" s="52"/>
      <c r="W252" s="44"/>
      <c r="X252" s="52"/>
      <c r="Y252" s="44"/>
      <c r="Z252" s="44"/>
      <c r="AA252" s="52"/>
      <c r="AB252" s="44"/>
      <c r="AC252" s="52"/>
      <c r="AD252" s="44"/>
      <c r="AE252" s="44"/>
      <c r="AF252" s="51"/>
    </row>
    <row r="253" spans="1:32" ht="47.25" thickBot="1">
      <c r="A253" s="44" t="s">
        <v>45</v>
      </c>
      <c r="B253" s="45" t="s">
        <v>114</v>
      </c>
      <c r="C253" s="51">
        <v>35</v>
      </c>
      <c r="D253" s="51"/>
      <c r="E253" s="51"/>
      <c r="F253" s="51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1"/>
    </row>
    <row r="254" spans="1:32" ht="47.25" thickBot="1">
      <c r="A254" s="44" t="s">
        <v>45</v>
      </c>
      <c r="B254" s="45" t="s">
        <v>144</v>
      </c>
      <c r="C254" s="46"/>
      <c r="D254" s="51">
        <v>45</v>
      </c>
      <c r="E254" s="51"/>
      <c r="F254" s="51"/>
      <c r="G254" s="51"/>
      <c r="H254" s="51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</row>
    <row r="255" spans="1:32" ht="47.25" thickBot="1">
      <c r="A255" s="46"/>
      <c r="B255" s="48" t="s">
        <v>37</v>
      </c>
      <c r="C255" s="46">
        <f>SUM(C249:C254)</f>
        <v>35</v>
      </c>
      <c r="D255" s="46">
        <f aca="true" t="shared" si="50" ref="D255:AF255">SUM(D249:D254)</f>
        <v>45</v>
      </c>
      <c r="E255" s="46">
        <f t="shared" si="50"/>
        <v>0</v>
      </c>
      <c r="F255" s="46">
        <f t="shared" si="50"/>
        <v>7.5</v>
      </c>
      <c r="G255" s="46">
        <f t="shared" si="50"/>
        <v>0</v>
      </c>
      <c r="H255" s="46">
        <f t="shared" si="50"/>
        <v>0</v>
      </c>
      <c r="I255" s="46">
        <f t="shared" si="50"/>
        <v>176</v>
      </c>
      <c r="J255" s="46">
        <f t="shared" si="50"/>
        <v>111</v>
      </c>
      <c r="K255" s="46">
        <f t="shared" si="50"/>
        <v>0</v>
      </c>
      <c r="L255" s="46">
        <f t="shared" si="50"/>
        <v>0</v>
      </c>
      <c r="M255" s="46">
        <f t="shared" si="50"/>
        <v>2</v>
      </c>
      <c r="N255" s="46">
        <f t="shared" si="50"/>
        <v>0</v>
      </c>
      <c r="O255" s="46">
        <f t="shared" si="50"/>
        <v>0</v>
      </c>
      <c r="P255" s="46">
        <f t="shared" si="50"/>
        <v>11</v>
      </c>
      <c r="Q255" s="46">
        <f t="shared" si="50"/>
        <v>2</v>
      </c>
      <c r="R255" s="46">
        <f t="shared" si="50"/>
        <v>9</v>
      </c>
      <c r="S255" s="46">
        <f t="shared" si="50"/>
        <v>3</v>
      </c>
      <c r="T255" s="46">
        <f t="shared" si="50"/>
        <v>0</v>
      </c>
      <c r="U255" s="46">
        <f t="shared" si="50"/>
        <v>0</v>
      </c>
      <c r="V255" s="46">
        <f t="shared" si="50"/>
        <v>0</v>
      </c>
      <c r="W255" s="46">
        <f t="shared" si="50"/>
        <v>141</v>
      </c>
      <c r="X255" s="46">
        <f t="shared" si="50"/>
        <v>0</v>
      </c>
      <c r="Y255" s="46">
        <f t="shared" si="50"/>
        <v>0</v>
      </c>
      <c r="Z255" s="46">
        <f t="shared" si="50"/>
        <v>0</v>
      </c>
      <c r="AA255" s="46">
        <f t="shared" si="50"/>
        <v>0</v>
      </c>
      <c r="AB255" s="46">
        <f t="shared" si="50"/>
        <v>0</v>
      </c>
      <c r="AC255" s="46">
        <f t="shared" si="50"/>
        <v>0</v>
      </c>
      <c r="AD255" s="46">
        <f t="shared" si="50"/>
        <v>0</v>
      </c>
      <c r="AE255" s="46">
        <f t="shared" si="50"/>
        <v>0</v>
      </c>
      <c r="AF255" s="46">
        <f t="shared" si="50"/>
        <v>0</v>
      </c>
    </row>
    <row r="256" spans="1:32" ht="47.25" thickBot="1">
      <c r="A256" s="156" t="s">
        <v>207</v>
      </c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57"/>
      <c r="AF256" s="51"/>
    </row>
    <row r="257" spans="1:32" ht="47.25" thickBot="1">
      <c r="A257" s="46">
        <v>29</v>
      </c>
      <c r="B257" s="45" t="s">
        <v>75</v>
      </c>
      <c r="C257" s="51">
        <v>19</v>
      </c>
      <c r="D257" s="51"/>
      <c r="E257" s="51"/>
      <c r="F257" s="51"/>
      <c r="G257" s="51"/>
      <c r="H257" s="51"/>
      <c r="I257" s="51"/>
      <c r="J257" s="51">
        <v>6</v>
      </c>
      <c r="K257" s="51"/>
      <c r="L257" s="51"/>
      <c r="M257" s="51"/>
      <c r="N257" s="51"/>
      <c r="O257" s="51"/>
      <c r="P257" s="51"/>
      <c r="Q257" s="51"/>
      <c r="R257" s="51">
        <v>4</v>
      </c>
      <c r="S257" s="51">
        <v>10</v>
      </c>
      <c r="T257" s="51">
        <v>11</v>
      </c>
      <c r="U257" s="51"/>
      <c r="V257" s="51"/>
      <c r="W257" s="51"/>
      <c r="X257" s="51"/>
      <c r="Y257" s="51">
        <v>53</v>
      </c>
      <c r="Z257" s="51"/>
      <c r="AA257" s="51"/>
      <c r="AB257" s="51"/>
      <c r="AC257" s="51"/>
      <c r="AD257" s="51"/>
      <c r="AE257" s="51"/>
      <c r="AF257" s="51"/>
    </row>
    <row r="258" spans="1:32" ht="47.25" thickBot="1">
      <c r="A258" s="46">
        <v>79</v>
      </c>
      <c r="B258" s="45" t="s">
        <v>135</v>
      </c>
      <c r="C258" s="46"/>
      <c r="D258" s="51"/>
      <c r="E258" s="51"/>
      <c r="F258" s="51"/>
      <c r="G258" s="51"/>
      <c r="H258" s="51"/>
      <c r="I258" s="51"/>
      <c r="J258" s="51">
        <v>210</v>
      </c>
      <c r="K258" s="51"/>
      <c r="L258" s="51"/>
      <c r="M258" s="51"/>
      <c r="N258" s="51"/>
      <c r="O258" s="52"/>
      <c r="P258" s="44"/>
      <c r="Q258" s="52">
        <v>10</v>
      </c>
      <c r="R258" s="44"/>
      <c r="S258" s="52"/>
      <c r="T258" s="44"/>
      <c r="U258" s="52"/>
      <c r="V258" s="44"/>
      <c r="W258" s="44"/>
      <c r="X258" s="52"/>
      <c r="Y258" s="44"/>
      <c r="Z258" s="44"/>
      <c r="AA258" s="52"/>
      <c r="AB258" s="44"/>
      <c r="AC258" s="44"/>
      <c r="AD258" s="52"/>
      <c r="AE258" s="44"/>
      <c r="AF258" s="51"/>
    </row>
    <row r="259" spans="1:32" ht="47.25" thickBot="1">
      <c r="A259" s="49">
        <v>31</v>
      </c>
      <c r="B259" s="50" t="s">
        <v>11</v>
      </c>
      <c r="C259" s="46"/>
      <c r="D259" s="51"/>
      <c r="E259" s="51"/>
      <c r="F259" s="51"/>
      <c r="G259" s="51"/>
      <c r="H259" s="51"/>
      <c r="I259" s="51"/>
      <c r="J259" s="51"/>
      <c r="K259" s="51"/>
      <c r="L259" s="51"/>
      <c r="M259" s="51">
        <v>6</v>
      </c>
      <c r="N259" s="51"/>
      <c r="O259" s="51"/>
      <c r="P259" s="46">
        <v>12</v>
      </c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46">
        <v>0.6</v>
      </c>
      <c r="AC259" s="51"/>
      <c r="AD259" s="51"/>
      <c r="AE259" s="51"/>
      <c r="AF259" s="51"/>
    </row>
    <row r="260" spans="1:32" ht="47.25" thickBot="1">
      <c r="A260" s="44" t="s">
        <v>45</v>
      </c>
      <c r="B260" s="45" t="s">
        <v>114</v>
      </c>
      <c r="C260" s="46">
        <v>30</v>
      </c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</row>
    <row r="261" spans="1:32" ht="47.25" thickBot="1">
      <c r="A261" s="44">
        <v>21</v>
      </c>
      <c r="B261" s="73" t="s">
        <v>38</v>
      </c>
      <c r="C261" s="44"/>
      <c r="D261" s="51"/>
      <c r="E261" s="44"/>
      <c r="F261" s="44"/>
      <c r="G261" s="44"/>
      <c r="H261" s="51"/>
      <c r="I261" s="51"/>
      <c r="J261" s="51"/>
      <c r="K261" s="51"/>
      <c r="L261" s="51"/>
      <c r="M261" s="51"/>
      <c r="N261" s="51"/>
      <c r="O261" s="52"/>
      <c r="P261" s="46"/>
      <c r="Q261" s="52"/>
      <c r="R261" s="46"/>
      <c r="S261" s="52"/>
      <c r="T261" s="46">
        <v>154</v>
      </c>
      <c r="U261" s="52"/>
      <c r="V261" s="46"/>
      <c r="W261" s="46"/>
      <c r="X261" s="52"/>
      <c r="Y261" s="46"/>
      <c r="Z261" s="46"/>
      <c r="AA261" s="52"/>
      <c r="AB261" s="46"/>
      <c r="AC261" s="46"/>
      <c r="AD261" s="52"/>
      <c r="AE261" s="46"/>
      <c r="AF261" s="51"/>
    </row>
    <row r="262" spans="1:32" ht="93.75" thickBot="1">
      <c r="A262" s="49">
        <v>43</v>
      </c>
      <c r="B262" s="50" t="s">
        <v>88</v>
      </c>
      <c r="C262" s="46"/>
      <c r="D262" s="57"/>
      <c r="E262" s="57">
        <v>33</v>
      </c>
      <c r="F262" s="57"/>
      <c r="G262" s="57"/>
      <c r="H262" s="51"/>
      <c r="I262" s="51"/>
      <c r="J262" s="51">
        <v>39.8</v>
      </c>
      <c r="K262" s="51"/>
      <c r="L262" s="51"/>
      <c r="M262" s="51"/>
      <c r="N262" s="51"/>
      <c r="O262" s="51"/>
      <c r="P262" s="51">
        <v>2</v>
      </c>
      <c r="Q262" s="51">
        <v>4</v>
      </c>
      <c r="R262" s="51">
        <v>2.6</v>
      </c>
      <c r="S262" s="51">
        <v>4</v>
      </c>
      <c r="T262" s="51">
        <v>8</v>
      </c>
      <c r="U262" s="51"/>
      <c r="V262" s="51"/>
      <c r="W262" s="51"/>
      <c r="X262" s="51"/>
      <c r="Y262" s="51"/>
      <c r="Z262" s="51"/>
      <c r="AA262" s="51"/>
      <c r="AB262" s="51"/>
      <c r="AC262" s="44"/>
      <c r="AD262" s="51"/>
      <c r="AE262" s="51"/>
      <c r="AF262" s="92">
        <v>1.2</v>
      </c>
    </row>
    <row r="263" spans="1:32" ht="47.25" thickBot="1">
      <c r="A263" s="69"/>
      <c r="B263" s="45" t="s">
        <v>8</v>
      </c>
      <c r="C263" s="46">
        <f>SUM(C257:C262)</f>
        <v>49</v>
      </c>
      <c r="D263" s="46">
        <f aca="true" t="shared" si="51" ref="D263:AF263">SUM(D257:D262)</f>
        <v>0</v>
      </c>
      <c r="E263" s="46">
        <f t="shared" si="51"/>
        <v>33</v>
      </c>
      <c r="F263" s="46">
        <f t="shared" si="51"/>
        <v>0</v>
      </c>
      <c r="G263" s="46">
        <f t="shared" si="51"/>
        <v>0</v>
      </c>
      <c r="H263" s="46">
        <f t="shared" si="51"/>
        <v>0</v>
      </c>
      <c r="I263" s="46">
        <f t="shared" si="51"/>
        <v>0</v>
      </c>
      <c r="J263" s="46">
        <f t="shared" si="51"/>
        <v>255.8</v>
      </c>
      <c r="K263" s="46">
        <f t="shared" si="51"/>
        <v>0</v>
      </c>
      <c r="L263" s="46">
        <f t="shared" si="51"/>
        <v>0</v>
      </c>
      <c r="M263" s="46">
        <f t="shared" si="51"/>
        <v>6</v>
      </c>
      <c r="N263" s="46">
        <f t="shared" si="51"/>
        <v>0</v>
      </c>
      <c r="O263" s="46">
        <f t="shared" si="51"/>
        <v>0</v>
      </c>
      <c r="P263" s="46">
        <f t="shared" si="51"/>
        <v>14</v>
      </c>
      <c r="Q263" s="46">
        <f t="shared" si="51"/>
        <v>14</v>
      </c>
      <c r="R263" s="46">
        <f t="shared" si="51"/>
        <v>6.6</v>
      </c>
      <c r="S263" s="46">
        <f t="shared" si="51"/>
        <v>14</v>
      </c>
      <c r="T263" s="46">
        <f t="shared" si="51"/>
        <v>173</v>
      </c>
      <c r="U263" s="46">
        <f t="shared" si="51"/>
        <v>0</v>
      </c>
      <c r="V263" s="46">
        <f t="shared" si="51"/>
        <v>0</v>
      </c>
      <c r="W263" s="46">
        <f t="shared" si="51"/>
        <v>0</v>
      </c>
      <c r="X263" s="46">
        <f t="shared" si="51"/>
        <v>0</v>
      </c>
      <c r="Y263" s="46">
        <f t="shared" si="51"/>
        <v>53</v>
      </c>
      <c r="Z263" s="46">
        <f t="shared" si="51"/>
        <v>0</v>
      </c>
      <c r="AA263" s="46">
        <f t="shared" si="51"/>
        <v>0</v>
      </c>
      <c r="AB263" s="46">
        <f t="shared" si="51"/>
        <v>0.6</v>
      </c>
      <c r="AC263" s="46">
        <f t="shared" si="51"/>
        <v>0</v>
      </c>
      <c r="AD263" s="46">
        <f t="shared" si="51"/>
        <v>0</v>
      </c>
      <c r="AE263" s="46">
        <f t="shared" si="51"/>
        <v>0</v>
      </c>
      <c r="AF263" s="46">
        <f t="shared" si="51"/>
        <v>1.2</v>
      </c>
    </row>
    <row r="264" spans="1:32" ht="93.75" thickBot="1">
      <c r="A264" s="95"/>
      <c r="B264" s="45" t="s">
        <v>145</v>
      </c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>
        <v>6</v>
      </c>
      <c r="AF264" s="46"/>
    </row>
    <row r="265" spans="1:32" ht="47.25" thickBot="1">
      <c r="A265" s="44"/>
      <c r="B265" s="74" t="s">
        <v>12</v>
      </c>
      <c r="C265" s="46">
        <f>SUM(C243+C247+C255+C263)</f>
        <v>114</v>
      </c>
      <c r="D265" s="46">
        <f aca="true" t="shared" si="52" ref="D265:AF265">SUM(D243+D247+D255+D263)</f>
        <v>45</v>
      </c>
      <c r="E265" s="46">
        <f t="shared" si="52"/>
        <v>33</v>
      </c>
      <c r="F265" s="46">
        <f t="shared" si="52"/>
        <v>7.5</v>
      </c>
      <c r="G265" s="46">
        <f t="shared" si="52"/>
        <v>0</v>
      </c>
      <c r="H265" s="46">
        <f t="shared" si="52"/>
        <v>0</v>
      </c>
      <c r="I265" s="46">
        <f t="shared" si="52"/>
        <v>176</v>
      </c>
      <c r="J265" s="46">
        <f t="shared" si="52"/>
        <v>426.8</v>
      </c>
      <c r="K265" s="46">
        <f t="shared" si="52"/>
        <v>90</v>
      </c>
      <c r="L265" s="46">
        <f t="shared" si="52"/>
        <v>0</v>
      </c>
      <c r="M265" s="46">
        <f t="shared" si="52"/>
        <v>118</v>
      </c>
      <c r="N265" s="46">
        <f t="shared" si="52"/>
        <v>0</v>
      </c>
      <c r="O265" s="46">
        <f t="shared" si="52"/>
        <v>0</v>
      </c>
      <c r="P265" s="46">
        <f t="shared" si="52"/>
        <v>37</v>
      </c>
      <c r="Q265" s="46">
        <f t="shared" si="52"/>
        <v>26</v>
      </c>
      <c r="R265" s="46">
        <f t="shared" si="52"/>
        <v>15.6</v>
      </c>
      <c r="S265" s="46">
        <f t="shared" si="52"/>
        <v>79</v>
      </c>
      <c r="T265" s="46">
        <f t="shared" si="52"/>
        <v>295</v>
      </c>
      <c r="U265" s="46">
        <f t="shared" si="52"/>
        <v>0</v>
      </c>
      <c r="V265" s="46">
        <f t="shared" si="52"/>
        <v>0</v>
      </c>
      <c r="W265" s="46">
        <f t="shared" si="52"/>
        <v>141</v>
      </c>
      <c r="X265" s="46">
        <f t="shared" si="52"/>
        <v>0</v>
      </c>
      <c r="Y265" s="46">
        <f t="shared" si="52"/>
        <v>53</v>
      </c>
      <c r="Z265" s="46">
        <f t="shared" si="52"/>
        <v>0</v>
      </c>
      <c r="AA265" s="46">
        <f t="shared" si="52"/>
        <v>0</v>
      </c>
      <c r="AB265" s="46">
        <f t="shared" si="52"/>
        <v>0.6</v>
      </c>
      <c r="AC265" s="46">
        <f t="shared" si="52"/>
        <v>0</v>
      </c>
      <c r="AD265" s="46">
        <f t="shared" si="52"/>
        <v>1.2</v>
      </c>
      <c r="AE265" s="46">
        <v>6</v>
      </c>
      <c r="AF265" s="46">
        <f t="shared" si="52"/>
        <v>1.2</v>
      </c>
    </row>
    <row r="266" spans="1:32" ht="47.25" thickBot="1">
      <c r="A266" s="165" t="s">
        <v>153</v>
      </c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7"/>
    </row>
    <row r="267" spans="1:32" ht="47.25" thickBot="1">
      <c r="A267" s="165" t="s">
        <v>24</v>
      </c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7"/>
    </row>
    <row r="268" spans="1:32" ht="45.75" customHeight="1">
      <c r="A268" s="168" t="s">
        <v>39</v>
      </c>
      <c r="B268" s="170" t="s">
        <v>26</v>
      </c>
      <c r="C268" s="154" t="s">
        <v>114</v>
      </c>
      <c r="D268" s="154" t="s">
        <v>115</v>
      </c>
      <c r="E268" s="154" t="s">
        <v>116</v>
      </c>
      <c r="F268" s="154" t="s">
        <v>117</v>
      </c>
      <c r="G268" s="154" t="s">
        <v>109</v>
      </c>
      <c r="H268" s="154" t="s">
        <v>118</v>
      </c>
      <c r="I268" s="154" t="s">
        <v>246</v>
      </c>
      <c r="J268" s="154" t="s">
        <v>247</v>
      </c>
      <c r="K268" s="90"/>
      <c r="L268" s="90"/>
      <c r="M268" s="154" t="s">
        <v>217</v>
      </c>
      <c r="N268" s="154" t="s">
        <v>121</v>
      </c>
      <c r="O268" s="154" t="s">
        <v>81</v>
      </c>
      <c r="P268" s="154" t="s">
        <v>82</v>
      </c>
      <c r="Q268" s="154" t="s">
        <v>122</v>
      </c>
      <c r="R268" s="154" t="s">
        <v>83</v>
      </c>
      <c r="S268" s="154" t="s">
        <v>123</v>
      </c>
      <c r="T268" s="154" t="s">
        <v>126</v>
      </c>
      <c r="U268" s="154" t="s">
        <v>143</v>
      </c>
      <c r="V268" s="90"/>
      <c r="W268" s="154" t="s">
        <v>248</v>
      </c>
      <c r="X268" s="154" t="s">
        <v>249</v>
      </c>
      <c r="Y268" s="154" t="s">
        <v>250</v>
      </c>
      <c r="Z268" s="154" t="s">
        <v>84</v>
      </c>
      <c r="AA268" s="154" t="s">
        <v>85</v>
      </c>
      <c r="AB268" s="154" t="s">
        <v>89</v>
      </c>
      <c r="AC268" s="90"/>
      <c r="AD268" s="154" t="s">
        <v>124</v>
      </c>
      <c r="AE268" s="154" t="s">
        <v>86</v>
      </c>
      <c r="AF268" s="154" t="s">
        <v>125</v>
      </c>
    </row>
    <row r="269" spans="1:32" ht="397.5" customHeight="1" thickBot="1">
      <c r="A269" s="169"/>
      <c r="B269" s="171"/>
      <c r="C269" s="155"/>
      <c r="D269" s="155"/>
      <c r="E269" s="155"/>
      <c r="F269" s="155"/>
      <c r="G269" s="155"/>
      <c r="H269" s="155"/>
      <c r="I269" s="155"/>
      <c r="J269" s="155"/>
      <c r="K269" s="91" t="s">
        <v>119</v>
      </c>
      <c r="L269" s="91" t="s">
        <v>120</v>
      </c>
      <c r="M269" s="155"/>
      <c r="N269" s="155"/>
      <c r="O269" s="155"/>
      <c r="P269" s="155"/>
      <c r="Q269" s="155"/>
      <c r="R269" s="155"/>
      <c r="S269" s="155"/>
      <c r="T269" s="155"/>
      <c r="U269" s="155"/>
      <c r="V269" s="91" t="s">
        <v>111</v>
      </c>
      <c r="W269" s="155"/>
      <c r="X269" s="155"/>
      <c r="Y269" s="155"/>
      <c r="Z269" s="155"/>
      <c r="AA269" s="155"/>
      <c r="AB269" s="155"/>
      <c r="AC269" s="91" t="s">
        <v>110</v>
      </c>
      <c r="AD269" s="155"/>
      <c r="AE269" s="155"/>
      <c r="AF269" s="155"/>
    </row>
    <row r="270" spans="1:32" ht="47.25" thickBot="1">
      <c r="A270" s="95">
        <v>1</v>
      </c>
      <c r="B270" s="68">
        <v>2</v>
      </c>
      <c r="C270" s="69" t="s">
        <v>112</v>
      </c>
      <c r="D270" s="70">
        <v>4</v>
      </c>
      <c r="E270" s="69">
        <v>5</v>
      </c>
      <c r="F270" s="69">
        <v>6</v>
      </c>
      <c r="G270" s="69">
        <v>7</v>
      </c>
      <c r="H270" s="69">
        <v>8</v>
      </c>
      <c r="I270" s="69" t="s">
        <v>113</v>
      </c>
      <c r="J270" s="70">
        <v>10</v>
      </c>
      <c r="K270" s="69">
        <v>11</v>
      </c>
      <c r="L270" s="85">
        <v>12</v>
      </c>
      <c r="M270" s="69">
        <v>13</v>
      </c>
      <c r="N270" s="69">
        <v>14</v>
      </c>
      <c r="O270" s="69">
        <v>15</v>
      </c>
      <c r="P270" s="69">
        <v>16</v>
      </c>
      <c r="Q270" s="94">
        <v>17</v>
      </c>
      <c r="R270" s="69">
        <v>18</v>
      </c>
      <c r="S270" s="94">
        <v>19</v>
      </c>
      <c r="T270" s="69">
        <v>20</v>
      </c>
      <c r="U270" s="94">
        <v>21</v>
      </c>
      <c r="V270" s="94">
        <v>22</v>
      </c>
      <c r="W270" s="69">
        <v>23</v>
      </c>
      <c r="X270" s="69">
        <v>24</v>
      </c>
      <c r="Y270" s="94">
        <v>25</v>
      </c>
      <c r="Z270" s="69">
        <v>26</v>
      </c>
      <c r="AA270" s="69">
        <v>27</v>
      </c>
      <c r="AB270" s="69">
        <v>28</v>
      </c>
      <c r="AC270" s="94">
        <v>29</v>
      </c>
      <c r="AD270" s="69">
        <v>30</v>
      </c>
      <c r="AE270" s="69">
        <v>31</v>
      </c>
      <c r="AF270" s="92">
        <v>32</v>
      </c>
    </row>
    <row r="271" spans="1:32" ht="47.25" thickBot="1">
      <c r="A271" s="165" t="s">
        <v>7</v>
      </c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7"/>
    </row>
    <row r="272" spans="1:32" s="96" customFormat="1" ht="93.75" thickBot="1">
      <c r="A272" s="46" t="s">
        <v>213</v>
      </c>
      <c r="B272" s="48" t="s">
        <v>222</v>
      </c>
      <c r="C272" s="46"/>
      <c r="D272" s="57"/>
      <c r="E272" s="57"/>
      <c r="F272" s="57"/>
      <c r="G272" s="57">
        <v>25</v>
      </c>
      <c r="H272" s="51"/>
      <c r="I272" s="51"/>
      <c r="J272" s="51"/>
      <c r="K272" s="51"/>
      <c r="L272" s="51"/>
      <c r="M272" s="51"/>
      <c r="N272" s="51"/>
      <c r="O272" s="52"/>
      <c r="P272" s="46">
        <v>5</v>
      </c>
      <c r="Q272" s="52">
        <v>3</v>
      </c>
      <c r="R272" s="46"/>
      <c r="S272" s="52"/>
      <c r="T272" s="46">
        <v>150</v>
      </c>
      <c r="U272" s="52"/>
      <c r="V272" s="46"/>
      <c r="W272" s="46"/>
      <c r="X272" s="46"/>
      <c r="Y272" s="52"/>
      <c r="Z272" s="46"/>
      <c r="AA272" s="46"/>
      <c r="AB272" s="46"/>
      <c r="AC272" s="52"/>
      <c r="AD272" s="46"/>
      <c r="AE272" s="52"/>
      <c r="AF272" s="46"/>
    </row>
    <row r="273" spans="1:32" s="96" customFormat="1" ht="47.25" thickBot="1">
      <c r="A273" s="44">
        <v>2</v>
      </c>
      <c r="B273" s="45" t="s">
        <v>189</v>
      </c>
      <c r="C273" s="46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44"/>
      <c r="P273" s="46">
        <v>12</v>
      </c>
      <c r="Q273" s="44"/>
      <c r="R273" s="52"/>
      <c r="S273" s="44"/>
      <c r="T273" s="46">
        <v>84</v>
      </c>
      <c r="U273" s="44"/>
      <c r="V273" s="52"/>
      <c r="W273" s="44"/>
      <c r="X273" s="52"/>
      <c r="Y273" s="44"/>
      <c r="Z273" s="52"/>
      <c r="AA273" s="44"/>
      <c r="AB273" s="52"/>
      <c r="AC273" s="44">
        <v>2.4</v>
      </c>
      <c r="AD273" s="44"/>
      <c r="AE273" s="44"/>
      <c r="AF273" s="46"/>
    </row>
    <row r="274" spans="1:32" ht="47.25" thickBot="1">
      <c r="A274" s="44">
        <v>3</v>
      </c>
      <c r="B274" s="45" t="s">
        <v>58</v>
      </c>
      <c r="C274" s="51">
        <v>30</v>
      </c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44"/>
      <c r="P274" s="52"/>
      <c r="Q274" s="46">
        <v>5</v>
      </c>
      <c r="R274" s="52"/>
      <c r="S274" s="44"/>
      <c r="T274" s="52"/>
      <c r="U274" s="66"/>
      <c r="V274" s="44"/>
      <c r="W274" s="46"/>
      <c r="X274" s="52"/>
      <c r="Y274" s="44"/>
      <c r="Z274" s="52"/>
      <c r="AA274" s="44">
        <v>14.9</v>
      </c>
      <c r="AB274" s="52"/>
      <c r="AC274" s="44"/>
      <c r="AD274" s="51"/>
      <c r="AE274" s="44"/>
      <c r="AF274" s="51"/>
    </row>
    <row r="275" spans="1:32" ht="47.25" thickBot="1">
      <c r="A275" s="44"/>
      <c r="B275" s="45" t="s">
        <v>8</v>
      </c>
      <c r="C275" s="46">
        <f>SUM(C272+C273+C274)</f>
        <v>30</v>
      </c>
      <c r="D275" s="46">
        <f aca="true" t="shared" si="53" ref="D275:AF275">SUM(D272+D273+D274)</f>
        <v>0</v>
      </c>
      <c r="E275" s="46">
        <f t="shared" si="53"/>
        <v>0</v>
      </c>
      <c r="F275" s="46">
        <f t="shared" si="53"/>
        <v>0</v>
      </c>
      <c r="G275" s="46">
        <f t="shared" si="53"/>
        <v>25</v>
      </c>
      <c r="H275" s="46">
        <f t="shared" si="53"/>
        <v>0</v>
      </c>
      <c r="I275" s="46">
        <f t="shared" si="53"/>
        <v>0</v>
      </c>
      <c r="J275" s="46">
        <f t="shared" si="53"/>
        <v>0</v>
      </c>
      <c r="K275" s="46">
        <f t="shared" si="53"/>
        <v>0</v>
      </c>
      <c r="L275" s="46">
        <f t="shared" si="53"/>
        <v>0</v>
      </c>
      <c r="M275" s="46">
        <f t="shared" si="53"/>
        <v>0</v>
      </c>
      <c r="N275" s="46">
        <f t="shared" si="53"/>
        <v>0</v>
      </c>
      <c r="O275" s="46">
        <f t="shared" si="53"/>
        <v>0</v>
      </c>
      <c r="P275" s="46">
        <f t="shared" si="53"/>
        <v>17</v>
      </c>
      <c r="Q275" s="46">
        <f t="shared" si="53"/>
        <v>8</v>
      </c>
      <c r="R275" s="46">
        <f t="shared" si="53"/>
        <v>0</v>
      </c>
      <c r="S275" s="46">
        <f t="shared" si="53"/>
        <v>0</v>
      </c>
      <c r="T275" s="46">
        <f t="shared" si="53"/>
        <v>234</v>
      </c>
      <c r="U275" s="46">
        <f t="shared" si="53"/>
        <v>0</v>
      </c>
      <c r="V275" s="46">
        <f t="shared" si="53"/>
        <v>0</v>
      </c>
      <c r="W275" s="46">
        <f t="shared" si="53"/>
        <v>0</v>
      </c>
      <c r="X275" s="46">
        <f t="shared" si="53"/>
        <v>0</v>
      </c>
      <c r="Y275" s="46">
        <f t="shared" si="53"/>
        <v>0</v>
      </c>
      <c r="Z275" s="46">
        <f t="shared" si="53"/>
        <v>0</v>
      </c>
      <c r="AA275" s="46">
        <f t="shared" si="53"/>
        <v>14.9</v>
      </c>
      <c r="AB275" s="46">
        <f t="shared" si="53"/>
        <v>0</v>
      </c>
      <c r="AC275" s="46">
        <f t="shared" si="53"/>
        <v>2.4</v>
      </c>
      <c r="AD275" s="46">
        <f t="shared" si="53"/>
        <v>0</v>
      </c>
      <c r="AE275" s="46">
        <f t="shared" si="53"/>
        <v>0</v>
      </c>
      <c r="AF275" s="46">
        <f t="shared" si="53"/>
        <v>0</v>
      </c>
    </row>
    <row r="276" spans="1:32" ht="47.25" thickBot="1">
      <c r="A276" s="156" t="s">
        <v>107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57"/>
    </row>
    <row r="277" spans="1:32" ht="47.25" thickBot="1">
      <c r="A277" s="44" t="s">
        <v>45</v>
      </c>
      <c r="B277" s="48" t="s">
        <v>108</v>
      </c>
      <c r="C277" s="46"/>
      <c r="D277" s="51"/>
      <c r="E277" s="51"/>
      <c r="F277" s="51"/>
      <c r="G277" s="51"/>
      <c r="H277" s="51"/>
      <c r="I277" s="51"/>
      <c r="J277" s="51"/>
      <c r="K277" s="51">
        <v>90</v>
      </c>
      <c r="L277" s="51"/>
      <c r="M277" s="51"/>
      <c r="N277" s="51"/>
      <c r="O277" s="52"/>
      <c r="P277" s="46"/>
      <c r="Q277" s="52"/>
      <c r="R277" s="46"/>
      <c r="S277" s="52"/>
      <c r="T277" s="46"/>
      <c r="U277" s="52"/>
      <c r="V277" s="46"/>
      <c r="W277" s="46"/>
      <c r="X277" s="52"/>
      <c r="Y277" s="46"/>
      <c r="Z277" s="46"/>
      <c r="AA277" s="52"/>
      <c r="AB277" s="46"/>
      <c r="AC277" s="52"/>
      <c r="AD277" s="46"/>
      <c r="AE277" s="46"/>
      <c r="AF277" s="51"/>
    </row>
    <row r="278" spans="1:32" ht="47.25" thickBot="1">
      <c r="A278" s="44" t="s">
        <v>45</v>
      </c>
      <c r="B278" s="45" t="s">
        <v>41</v>
      </c>
      <c r="C278" s="46"/>
      <c r="D278" s="51"/>
      <c r="E278" s="51"/>
      <c r="F278" s="51"/>
      <c r="G278" s="51"/>
      <c r="H278" s="51"/>
      <c r="I278" s="51"/>
      <c r="J278" s="51"/>
      <c r="K278" s="51"/>
      <c r="L278" s="51"/>
      <c r="M278" s="51">
        <v>110</v>
      </c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7"/>
    </row>
    <row r="279" spans="1:32" ht="47.25" thickBot="1">
      <c r="A279" s="44"/>
      <c r="B279" s="45" t="s">
        <v>37</v>
      </c>
      <c r="C279" s="46">
        <f>SUM(C277:C278)</f>
        <v>0</v>
      </c>
      <c r="D279" s="46">
        <f aca="true" t="shared" si="54" ref="D279:N279">SUM(D277:D278)</f>
        <v>0</v>
      </c>
      <c r="E279" s="46">
        <f t="shared" si="54"/>
        <v>0</v>
      </c>
      <c r="F279" s="46">
        <f t="shared" si="54"/>
        <v>0</v>
      </c>
      <c r="G279" s="46">
        <f t="shared" si="54"/>
        <v>0</v>
      </c>
      <c r="H279" s="46">
        <f t="shared" si="54"/>
        <v>0</v>
      </c>
      <c r="I279" s="46">
        <f t="shared" si="54"/>
        <v>0</v>
      </c>
      <c r="J279" s="46">
        <f t="shared" si="54"/>
        <v>0</v>
      </c>
      <c r="K279" s="46">
        <f t="shared" si="54"/>
        <v>90</v>
      </c>
      <c r="L279" s="46">
        <f t="shared" si="54"/>
        <v>0</v>
      </c>
      <c r="M279" s="46">
        <f t="shared" si="54"/>
        <v>110</v>
      </c>
      <c r="N279" s="46">
        <f t="shared" si="54"/>
        <v>0</v>
      </c>
      <c r="O279" s="51">
        <f aca="true" t="shared" si="55" ref="O279:AF279">SUM(O277)</f>
        <v>0</v>
      </c>
      <c r="P279" s="51">
        <f t="shared" si="55"/>
        <v>0</v>
      </c>
      <c r="Q279" s="51">
        <f t="shared" si="55"/>
        <v>0</v>
      </c>
      <c r="R279" s="51">
        <f t="shared" si="55"/>
        <v>0</v>
      </c>
      <c r="S279" s="51">
        <f t="shared" si="55"/>
        <v>0</v>
      </c>
      <c r="T279" s="51">
        <f t="shared" si="55"/>
        <v>0</v>
      </c>
      <c r="U279" s="51">
        <f t="shared" si="55"/>
        <v>0</v>
      </c>
      <c r="V279" s="51">
        <f t="shared" si="55"/>
        <v>0</v>
      </c>
      <c r="W279" s="51">
        <f t="shared" si="55"/>
        <v>0</v>
      </c>
      <c r="X279" s="51">
        <f t="shared" si="55"/>
        <v>0</v>
      </c>
      <c r="Y279" s="51">
        <f t="shared" si="55"/>
        <v>0</v>
      </c>
      <c r="Z279" s="51">
        <f t="shared" si="55"/>
        <v>0</v>
      </c>
      <c r="AA279" s="51">
        <f t="shared" si="55"/>
        <v>0</v>
      </c>
      <c r="AB279" s="51">
        <f t="shared" si="55"/>
        <v>0</v>
      </c>
      <c r="AC279" s="51">
        <f t="shared" si="55"/>
        <v>0</v>
      </c>
      <c r="AD279" s="51">
        <f t="shared" si="55"/>
        <v>0</v>
      </c>
      <c r="AE279" s="51">
        <f t="shared" si="55"/>
        <v>0</v>
      </c>
      <c r="AF279" s="51">
        <f t="shared" si="55"/>
        <v>0</v>
      </c>
    </row>
    <row r="280" spans="1:32" ht="47.25" thickBot="1">
      <c r="A280" s="165" t="s">
        <v>10</v>
      </c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7"/>
    </row>
    <row r="281" spans="1:32" ht="47.25" thickBot="1">
      <c r="A281" s="46">
        <v>94</v>
      </c>
      <c r="B281" s="48" t="s">
        <v>211</v>
      </c>
      <c r="C281" s="46"/>
      <c r="D281" s="51"/>
      <c r="E281" s="51"/>
      <c r="F281" s="51"/>
      <c r="G281" s="51"/>
      <c r="H281" s="51"/>
      <c r="I281" s="51">
        <v>26</v>
      </c>
      <c r="J281" s="51">
        <v>30</v>
      </c>
      <c r="K281" s="51"/>
      <c r="L281" s="51"/>
      <c r="M281" s="51"/>
      <c r="N281" s="51"/>
      <c r="O281" s="52"/>
      <c r="P281" s="46"/>
      <c r="Q281" s="52"/>
      <c r="R281" s="46">
        <v>5</v>
      </c>
      <c r="S281" s="52"/>
      <c r="T281" s="46"/>
      <c r="U281" s="46"/>
      <c r="V281" s="52"/>
      <c r="W281" s="46"/>
      <c r="X281" s="52"/>
      <c r="Y281" s="46"/>
      <c r="Z281" s="46"/>
      <c r="AA281" s="52"/>
      <c r="AB281" s="46"/>
      <c r="AC281" s="52"/>
      <c r="AD281" s="46"/>
      <c r="AE281" s="46"/>
      <c r="AF281" s="51"/>
    </row>
    <row r="282" spans="1:32" ht="93.75" thickBot="1">
      <c r="A282" s="44">
        <v>52</v>
      </c>
      <c r="B282" s="45" t="s">
        <v>155</v>
      </c>
      <c r="C282" s="46"/>
      <c r="D282" s="51"/>
      <c r="E282" s="51"/>
      <c r="F282" s="51"/>
      <c r="G282" s="51"/>
      <c r="H282" s="51">
        <v>10</v>
      </c>
      <c r="I282" s="51">
        <v>75</v>
      </c>
      <c r="J282" s="51">
        <v>28</v>
      </c>
      <c r="K282" s="51"/>
      <c r="L282" s="51"/>
      <c r="M282" s="51"/>
      <c r="N282" s="51"/>
      <c r="O282" s="52"/>
      <c r="P282" s="46"/>
      <c r="Q282" s="52">
        <v>4</v>
      </c>
      <c r="R282" s="46"/>
      <c r="S282" s="52"/>
      <c r="T282" s="46"/>
      <c r="U282" s="44"/>
      <c r="V282" s="52"/>
      <c r="W282" s="44"/>
      <c r="X282" s="51">
        <v>32</v>
      </c>
      <c r="Y282" s="44"/>
      <c r="Z282" s="46"/>
      <c r="AA282" s="52"/>
      <c r="AB282" s="46"/>
      <c r="AC282" s="52"/>
      <c r="AD282" s="44"/>
      <c r="AE282" s="46"/>
      <c r="AF282" s="51"/>
    </row>
    <row r="283" spans="1:32" ht="47.25" thickBot="1">
      <c r="A283" s="44">
        <v>53</v>
      </c>
      <c r="B283" s="45" t="s">
        <v>140</v>
      </c>
      <c r="C283" s="46"/>
      <c r="D283" s="51"/>
      <c r="E283" s="51">
        <v>1.8</v>
      </c>
      <c r="F283" s="51"/>
      <c r="G283" s="51"/>
      <c r="H283" s="51"/>
      <c r="I283" s="51"/>
      <c r="J283" s="51">
        <v>195</v>
      </c>
      <c r="K283" s="51"/>
      <c r="L283" s="51"/>
      <c r="M283" s="51"/>
      <c r="N283" s="51"/>
      <c r="O283" s="44"/>
      <c r="P283" s="52">
        <v>2</v>
      </c>
      <c r="Q283" s="44"/>
      <c r="R283" s="52">
        <v>7</v>
      </c>
      <c r="S283" s="44"/>
      <c r="T283" s="52"/>
      <c r="U283" s="66"/>
      <c r="V283" s="44"/>
      <c r="W283" s="44">
        <v>98</v>
      </c>
      <c r="X283" s="52"/>
      <c r="Y283" s="44"/>
      <c r="Z283" s="52"/>
      <c r="AA283" s="44"/>
      <c r="AB283" s="44"/>
      <c r="AC283" s="52"/>
      <c r="AD283" s="44"/>
      <c r="AE283" s="44"/>
      <c r="AF283" s="51"/>
    </row>
    <row r="284" spans="1:32" ht="47.25" thickBot="1">
      <c r="A284" s="44">
        <v>87</v>
      </c>
      <c r="B284" s="45" t="s">
        <v>185</v>
      </c>
      <c r="C284" s="46"/>
      <c r="D284" s="51"/>
      <c r="E284" s="51"/>
      <c r="F284" s="51"/>
      <c r="G284" s="51"/>
      <c r="H284" s="51"/>
      <c r="I284" s="51"/>
      <c r="J284" s="51"/>
      <c r="K284" s="51"/>
      <c r="L284" s="51">
        <v>225</v>
      </c>
      <c r="M284" s="51"/>
      <c r="N284" s="51"/>
      <c r="O284" s="52"/>
      <c r="P284" s="44"/>
      <c r="Q284" s="52"/>
      <c r="R284" s="44"/>
      <c r="S284" s="52"/>
      <c r="T284" s="44"/>
      <c r="U284" s="44"/>
      <c r="V284" s="52"/>
      <c r="W284" s="44"/>
      <c r="X284" s="52"/>
      <c r="Y284" s="44"/>
      <c r="Z284" s="44"/>
      <c r="AA284" s="52"/>
      <c r="AB284" s="44"/>
      <c r="AC284" s="52"/>
      <c r="AD284" s="44"/>
      <c r="AE284" s="44"/>
      <c r="AF284" s="51"/>
    </row>
    <row r="285" spans="1:32" ht="47.25" thickBot="1">
      <c r="A285" s="44" t="s">
        <v>45</v>
      </c>
      <c r="B285" s="45" t="s">
        <v>114</v>
      </c>
      <c r="C285" s="51">
        <v>35</v>
      </c>
      <c r="D285" s="51"/>
      <c r="E285" s="51"/>
      <c r="F285" s="51"/>
      <c r="G285" s="51"/>
      <c r="H285" s="51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65"/>
      <c r="Y285" s="46"/>
      <c r="Z285" s="57"/>
      <c r="AA285" s="57"/>
      <c r="AB285" s="57"/>
      <c r="AC285" s="46"/>
      <c r="AD285" s="57"/>
      <c r="AE285" s="57"/>
      <c r="AF285" s="51"/>
    </row>
    <row r="286" spans="1:32" ht="47.25" thickBot="1">
      <c r="A286" s="44" t="s">
        <v>45</v>
      </c>
      <c r="B286" s="45" t="s">
        <v>144</v>
      </c>
      <c r="C286" s="46"/>
      <c r="D286" s="51">
        <v>45</v>
      </c>
      <c r="E286" s="51"/>
      <c r="F286" s="51"/>
      <c r="G286" s="51"/>
      <c r="H286" s="51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1"/>
    </row>
    <row r="287" spans="1:32" ht="47.25" thickBot="1">
      <c r="A287" s="46"/>
      <c r="B287" s="48" t="s">
        <v>37</v>
      </c>
      <c r="C287" s="46">
        <f>SUM(C281:C286)</f>
        <v>35</v>
      </c>
      <c r="D287" s="46">
        <f aca="true" t="shared" si="56" ref="D287:AF287">SUM(D281:D286)</f>
        <v>45</v>
      </c>
      <c r="E287" s="46">
        <f t="shared" si="56"/>
        <v>1.8</v>
      </c>
      <c r="F287" s="46">
        <f t="shared" si="56"/>
        <v>0</v>
      </c>
      <c r="G287" s="46">
        <f t="shared" si="56"/>
        <v>0</v>
      </c>
      <c r="H287" s="46">
        <f t="shared" si="56"/>
        <v>10</v>
      </c>
      <c r="I287" s="46">
        <f t="shared" si="56"/>
        <v>101</v>
      </c>
      <c r="J287" s="46">
        <f t="shared" si="56"/>
        <v>253</v>
      </c>
      <c r="K287" s="46">
        <f t="shared" si="56"/>
        <v>0</v>
      </c>
      <c r="L287" s="46">
        <f t="shared" si="56"/>
        <v>225</v>
      </c>
      <c r="M287" s="46">
        <f t="shared" si="56"/>
        <v>0</v>
      </c>
      <c r="N287" s="46">
        <f t="shared" si="56"/>
        <v>0</v>
      </c>
      <c r="O287" s="46">
        <f t="shared" si="56"/>
        <v>0</v>
      </c>
      <c r="P287" s="46">
        <f t="shared" si="56"/>
        <v>2</v>
      </c>
      <c r="Q287" s="46">
        <f t="shared" si="56"/>
        <v>4</v>
      </c>
      <c r="R287" s="46">
        <f t="shared" si="56"/>
        <v>12</v>
      </c>
      <c r="S287" s="46">
        <f t="shared" si="56"/>
        <v>0</v>
      </c>
      <c r="T287" s="46">
        <f t="shared" si="56"/>
        <v>0</v>
      </c>
      <c r="U287" s="46">
        <f t="shared" si="56"/>
        <v>0</v>
      </c>
      <c r="V287" s="46">
        <f t="shared" si="56"/>
        <v>0</v>
      </c>
      <c r="W287" s="46">
        <f t="shared" si="56"/>
        <v>98</v>
      </c>
      <c r="X287" s="46">
        <f t="shared" si="56"/>
        <v>32</v>
      </c>
      <c r="Y287" s="46">
        <f t="shared" si="56"/>
        <v>0</v>
      </c>
      <c r="Z287" s="46">
        <f t="shared" si="56"/>
        <v>0</v>
      </c>
      <c r="AA287" s="46">
        <f t="shared" si="56"/>
        <v>0</v>
      </c>
      <c r="AB287" s="46">
        <f t="shared" si="56"/>
        <v>0</v>
      </c>
      <c r="AC287" s="46">
        <f t="shared" si="56"/>
        <v>0</v>
      </c>
      <c r="AD287" s="46">
        <f t="shared" si="56"/>
        <v>0</v>
      </c>
      <c r="AE287" s="46">
        <f t="shared" si="56"/>
        <v>0</v>
      </c>
      <c r="AF287" s="46">
        <f t="shared" si="56"/>
        <v>0</v>
      </c>
    </row>
    <row r="288" spans="1:32" ht="46.5" customHeight="1" thickBot="1">
      <c r="A288" s="156" t="s">
        <v>207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57"/>
    </row>
    <row r="289" spans="1:32" ht="47.25" thickBot="1">
      <c r="A289" s="46">
        <v>22</v>
      </c>
      <c r="B289" s="45" t="s">
        <v>47</v>
      </c>
      <c r="C289" s="46" t="s">
        <v>91</v>
      </c>
      <c r="D289" s="51"/>
      <c r="E289" s="51">
        <v>11</v>
      </c>
      <c r="F289" s="51"/>
      <c r="G289" s="51"/>
      <c r="H289" s="51"/>
      <c r="I289" s="57"/>
      <c r="J289" s="57"/>
      <c r="K289" s="57"/>
      <c r="L289" s="57"/>
      <c r="M289" s="57"/>
      <c r="N289" s="57"/>
      <c r="O289" s="57"/>
      <c r="P289" s="57">
        <v>9</v>
      </c>
      <c r="Q289" s="57">
        <v>5</v>
      </c>
      <c r="R289" s="57"/>
      <c r="S289" s="57">
        <v>4</v>
      </c>
      <c r="T289" s="57">
        <v>40</v>
      </c>
      <c r="U289" s="57">
        <v>132</v>
      </c>
      <c r="V289" s="57"/>
      <c r="W289" s="57"/>
      <c r="X289" s="57"/>
      <c r="Y289" s="57"/>
      <c r="Z289" s="57">
        <v>5</v>
      </c>
      <c r="AA289" s="57"/>
      <c r="AB289" s="57"/>
      <c r="AC289" s="57"/>
      <c r="AD289" s="57"/>
      <c r="AE289" s="57"/>
      <c r="AF289" s="57"/>
    </row>
    <row r="290" spans="1:32" ht="47.25" thickBot="1">
      <c r="A290" s="49">
        <v>13</v>
      </c>
      <c r="B290" s="50" t="s">
        <v>9</v>
      </c>
      <c r="C290" s="46"/>
      <c r="D290" s="57"/>
      <c r="E290" s="57"/>
      <c r="F290" s="57"/>
      <c r="G290" s="57"/>
      <c r="H290" s="51"/>
      <c r="I290" s="51"/>
      <c r="J290" s="51"/>
      <c r="K290" s="51"/>
      <c r="L290" s="51"/>
      <c r="M290" s="51"/>
      <c r="N290" s="51"/>
      <c r="O290" s="52"/>
      <c r="P290" s="46">
        <v>12</v>
      </c>
      <c r="Q290" s="52"/>
      <c r="R290" s="46"/>
      <c r="S290" s="52"/>
      <c r="T290" s="46"/>
      <c r="U290" s="46"/>
      <c r="V290" s="52"/>
      <c r="W290" s="46"/>
      <c r="X290" s="46"/>
      <c r="Y290" s="52"/>
      <c r="Z290" s="46"/>
      <c r="AA290" s="52"/>
      <c r="AB290" s="46">
        <v>0.6</v>
      </c>
      <c r="AC290" s="46"/>
      <c r="AD290" s="52"/>
      <c r="AE290" s="46"/>
      <c r="AF290" s="92"/>
    </row>
    <row r="291" spans="1:32" ht="47.25" thickBot="1">
      <c r="A291" s="44">
        <v>21</v>
      </c>
      <c r="B291" s="73" t="s">
        <v>38</v>
      </c>
      <c r="C291" s="44"/>
      <c r="D291" s="51"/>
      <c r="E291" s="44"/>
      <c r="F291" s="44"/>
      <c r="G291" s="44"/>
      <c r="H291" s="51"/>
      <c r="I291" s="51"/>
      <c r="J291" s="51"/>
      <c r="K291" s="51"/>
      <c r="L291" s="51"/>
      <c r="M291" s="51"/>
      <c r="N291" s="51"/>
      <c r="O291" s="52"/>
      <c r="P291" s="46"/>
      <c r="Q291" s="52"/>
      <c r="R291" s="46"/>
      <c r="S291" s="52"/>
      <c r="T291" s="46">
        <v>154</v>
      </c>
      <c r="U291" s="52"/>
      <c r="V291" s="46"/>
      <c r="W291" s="46"/>
      <c r="X291" s="52"/>
      <c r="Y291" s="46"/>
      <c r="Z291" s="46"/>
      <c r="AA291" s="52"/>
      <c r="AB291" s="46"/>
      <c r="AC291" s="46"/>
      <c r="AD291" s="52"/>
      <c r="AE291" s="46"/>
      <c r="AF291" s="51"/>
    </row>
    <row r="292" spans="1:32" ht="186.75" thickBot="1">
      <c r="A292" s="44" t="s">
        <v>45</v>
      </c>
      <c r="B292" s="45" t="s">
        <v>134</v>
      </c>
      <c r="C292" s="46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>
        <v>45</v>
      </c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</row>
    <row r="293" spans="1:32" ht="47.25" thickBot="1">
      <c r="A293" s="69"/>
      <c r="B293" s="45" t="s">
        <v>8</v>
      </c>
      <c r="C293" s="46">
        <f>C289+C290+C291+C292</f>
        <v>5</v>
      </c>
      <c r="D293" s="46">
        <f aca="true" t="shared" si="57" ref="D293:AF293">D289+D290+D291+D292</f>
        <v>0</v>
      </c>
      <c r="E293" s="46">
        <f t="shared" si="57"/>
        <v>11</v>
      </c>
      <c r="F293" s="46">
        <f t="shared" si="57"/>
        <v>0</v>
      </c>
      <c r="G293" s="46">
        <f t="shared" si="57"/>
        <v>0</v>
      </c>
      <c r="H293" s="46">
        <f t="shared" si="57"/>
        <v>0</v>
      </c>
      <c r="I293" s="46">
        <f t="shared" si="57"/>
        <v>0</v>
      </c>
      <c r="J293" s="46">
        <f t="shared" si="57"/>
        <v>0</v>
      </c>
      <c r="K293" s="46">
        <f t="shared" si="57"/>
        <v>0</v>
      </c>
      <c r="L293" s="46">
        <f t="shared" si="57"/>
        <v>0</v>
      </c>
      <c r="M293" s="46">
        <f t="shared" si="57"/>
        <v>0</v>
      </c>
      <c r="N293" s="46">
        <f t="shared" si="57"/>
        <v>0</v>
      </c>
      <c r="O293" s="46">
        <f t="shared" si="57"/>
        <v>45</v>
      </c>
      <c r="P293" s="46">
        <f t="shared" si="57"/>
        <v>21</v>
      </c>
      <c r="Q293" s="46">
        <f t="shared" si="57"/>
        <v>5</v>
      </c>
      <c r="R293" s="46">
        <f t="shared" si="57"/>
        <v>0</v>
      </c>
      <c r="S293" s="46">
        <f t="shared" si="57"/>
        <v>4</v>
      </c>
      <c r="T293" s="46">
        <f t="shared" si="57"/>
        <v>194</v>
      </c>
      <c r="U293" s="46">
        <f t="shared" si="57"/>
        <v>132</v>
      </c>
      <c r="V293" s="46">
        <f t="shared" si="57"/>
        <v>0</v>
      </c>
      <c r="W293" s="46">
        <f t="shared" si="57"/>
        <v>0</v>
      </c>
      <c r="X293" s="46">
        <f t="shared" si="57"/>
        <v>0</v>
      </c>
      <c r="Y293" s="46">
        <f t="shared" si="57"/>
        <v>0</v>
      </c>
      <c r="Z293" s="46">
        <f t="shared" si="57"/>
        <v>5</v>
      </c>
      <c r="AA293" s="46">
        <f t="shared" si="57"/>
        <v>0</v>
      </c>
      <c r="AB293" s="46">
        <f t="shared" si="57"/>
        <v>0.6</v>
      </c>
      <c r="AC293" s="46">
        <f t="shared" si="57"/>
        <v>0</v>
      </c>
      <c r="AD293" s="46">
        <f t="shared" si="57"/>
        <v>0</v>
      </c>
      <c r="AE293" s="46">
        <f t="shared" si="57"/>
        <v>0</v>
      </c>
      <c r="AF293" s="46">
        <f t="shared" si="57"/>
        <v>0</v>
      </c>
    </row>
    <row r="294" spans="1:32" ht="93.75" thickBot="1">
      <c r="A294" s="95"/>
      <c r="B294" s="45" t="s">
        <v>145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>
        <v>6</v>
      </c>
      <c r="AF294" s="46"/>
    </row>
    <row r="295" spans="1:32" ht="47.25" thickBot="1">
      <c r="A295" s="44"/>
      <c r="B295" s="74" t="s">
        <v>12</v>
      </c>
      <c r="C295" s="46">
        <f>SUM(C275+C279+C287+C293)</f>
        <v>70</v>
      </c>
      <c r="D295" s="46">
        <f aca="true" t="shared" si="58" ref="D295:AF295">SUM(D275+D279+D287+D293)</f>
        <v>45</v>
      </c>
      <c r="E295" s="46">
        <f t="shared" si="58"/>
        <v>12.8</v>
      </c>
      <c r="F295" s="46">
        <f t="shared" si="58"/>
        <v>0</v>
      </c>
      <c r="G295" s="46">
        <f t="shared" si="58"/>
        <v>25</v>
      </c>
      <c r="H295" s="46">
        <f t="shared" si="58"/>
        <v>10</v>
      </c>
      <c r="I295" s="46">
        <f t="shared" si="58"/>
        <v>101</v>
      </c>
      <c r="J295" s="46">
        <f t="shared" si="58"/>
        <v>253</v>
      </c>
      <c r="K295" s="46">
        <f t="shared" si="58"/>
        <v>90</v>
      </c>
      <c r="L295" s="46">
        <f t="shared" si="58"/>
        <v>225</v>
      </c>
      <c r="M295" s="46">
        <f t="shared" si="58"/>
        <v>110</v>
      </c>
      <c r="N295" s="46">
        <f t="shared" si="58"/>
        <v>0</v>
      </c>
      <c r="O295" s="46">
        <f t="shared" si="58"/>
        <v>45</v>
      </c>
      <c r="P295" s="46">
        <f t="shared" si="58"/>
        <v>40</v>
      </c>
      <c r="Q295" s="46">
        <f t="shared" si="58"/>
        <v>17</v>
      </c>
      <c r="R295" s="46">
        <f t="shared" si="58"/>
        <v>12</v>
      </c>
      <c r="S295" s="46">
        <f t="shared" si="58"/>
        <v>4</v>
      </c>
      <c r="T295" s="46">
        <f t="shared" si="58"/>
        <v>428</v>
      </c>
      <c r="U295" s="46">
        <f t="shared" si="58"/>
        <v>132</v>
      </c>
      <c r="V295" s="46">
        <f t="shared" si="58"/>
        <v>0</v>
      </c>
      <c r="W295" s="46">
        <f t="shared" si="58"/>
        <v>98</v>
      </c>
      <c r="X295" s="46">
        <f t="shared" si="58"/>
        <v>32</v>
      </c>
      <c r="Y295" s="46">
        <f t="shared" si="58"/>
        <v>0</v>
      </c>
      <c r="Z295" s="46">
        <f t="shared" si="58"/>
        <v>5</v>
      </c>
      <c r="AA295" s="46">
        <f t="shared" si="58"/>
        <v>14.9</v>
      </c>
      <c r="AB295" s="46">
        <f t="shared" si="58"/>
        <v>0.6</v>
      </c>
      <c r="AC295" s="46">
        <f t="shared" si="58"/>
        <v>2.4</v>
      </c>
      <c r="AD295" s="46">
        <f t="shared" si="58"/>
        <v>0</v>
      </c>
      <c r="AE295" s="46">
        <v>6</v>
      </c>
      <c r="AF295" s="46">
        <f t="shared" si="58"/>
        <v>0</v>
      </c>
    </row>
    <row r="296" spans="1:32" ht="47.25" thickBot="1">
      <c r="A296" s="165" t="s">
        <v>65</v>
      </c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7"/>
    </row>
    <row r="297" spans="1:32" ht="47.25" thickBot="1">
      <c r="A297" s="165" t="s">
        <v>25</v>
      </c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7"/>
    </row>
    <row r="298" spans="1:32" ht="45.75" customHeight="1">
      <c r="A298" s="168" t="s">
        <v>39</v>
      </c>
      <c r="B298" s="170" t="s">
        <v>26</v>
      </c>
      <c r="C298" s="154" t="s">
        <v>114</v>
      </c>
      <c r="D298" s="154" t="s">
        <v>115</v>
      </c>
      <c r="E298" s="154" t="s">
        <v>116</v>
      </c>
      <c r="F298" s="154" t="s">
        <v>117</v>
      </c>
      <c r="G298" s="154" t="s">
        <v>109</v>
      </c>
      <c r="H298" s="154" t="s">
        <v>118</v>
      </c>
      <c r="I298" s="154" t="s">
        <v>246</v>
      </c>
      <c r="J298" s="154" t="s">
        <v>247</v>
      </c>
      <c r="K298" s="90"/>
      <c r="L298" s="90"/>
      <c r="M298" s="154" t="s">
        <v>217</v>
      </c>
      <c r="N298" s="154" t="s">
        <v>121</v>
      </c>
      <c r="O298" s="154" t="s">
        <v>81</v>
      </c>
      <c r="P298" s="154" t="s">
        <v>82</v>
      </c>
      <c r="Q298" s="154" t="s">
        <v>122</v>
      </c>
      <c r="R298" s="154" t="s">
        <v>83</v>
      </c>
      <c r="S298" s="154" t="s">
        <v>123</v>
      </c>
      <c r="T298" s="154" t="s">
        <v>126</v>
      </c>
      <c r="U298" s="154" t="s">
        <v>143</v>
      </c>
      <c r="V298" s="90"/>
      <c r="W298" s="154" t="s">
        <v>248</v>
      </c>
      <c r="X298" s="154" t="s">
        <v>249</v>
      </c>
      <c r="Y298" s="154" t="s">
        <v>250</v>
      </c>
      <c r="Z298" s="154" t="s">
        <v>84</v>
      </c>
      <c r="AA298" s="154" t="s">
        <v>85</v>
      </c>
      <c r="AB298" s="154" t="s">
        <v>89</v>
      </c>
      <c r="AC298" s="90"/>
      <c r="AD298" s="154" t="s">
        <v>124</v>
      </c>
      <c r="AE298" s="154" t="s">
        <v>86</v>
      </c>
      <c r="AF298" s="154" t="s">
        <v>125</v>
      </c>
    </row>
    <row r="299" spans="1:32" ht="397.5" customHeight="1" thickBot="1">
      <c r="A299" s="169"/>
      <c r="B299" s="171"/>
      <c r="C299" s="155"/>
      <c r="D299" s="155"/>
      <c r="E299" s="155"/>
      <c r="F299" s="155"/>
      <c r="G299" s="155"/>
      <c r="H299" s="155"/>
      <c r="I299" s="155"/>
      <c r="J299" s="155"/>
      <c r="K299" s="91" t="s">
        <v>119</v>
      </c>
      <c r="L299" s="91" t="s">
        <v>120</v>
      </c>
      <c r="M299" s="155"/>
      <c r="N299" s="155"/>
      <c r="O299" s="155"/>
      <c r="P299" s="155"/>
      <c r="Q299" s="155"/>
      <c r="R299" s="155"/>
      <c r="S299" s="155"/>
      <c r="T299" s="155"/>
      <c r="U299" s="155"/>
      <c r="V299" s="91" t="s">
        <v>111</v>
      </c>
      <c r="W299" s="155"/>
      <c r="X299" s="155"/>
      <c r="Y299" s="155"/>
      <c r="Z299" s="155"/>
      <c r="AA299" s="155"/>
      <c r="AB299" s="155"/>
      <c r="AC299" s="91" t="s">
        <v>110</v>
      </c>
      <c r="AD299" s="155"/>
      <c r="AE299" s="155"/>
      <c r="AF299" s="155"/>
    </row>
    <row r="300" spans="1:32" ht="47.25" thickBot="1">
      <c r="A300" s="95">
        <v>1</v>
      </c>
      <c r="B300" s="68">
        <v>2</v>
      </c>
      <c r="C300" s="69" t="s">
        <v>112</v>
      </c>
      <c r="D300" s="70">
        <v>4</v>
      </c>
      <c r="E300" s="69">
        <v>5</v>
      </c>
      <c r="F300" s="69">
        <v>6</v>
      </c>
      <c r="G300" s="69">
        <v>7</v>
      </c>
      <c r="H300" s="69">
        <v>8</v>
      </c>
      <c r="I300" s="69" t="s">
        <v>113</v>
      </c>
      <c r="J300" s="70">
        <v>10</v>
      </c>
      <c r="K300" s="69">
        <v>11</v>
      </c>
      <c r="L300" s="85">
        <v>12</v>
      </c>
      <c r="M300" s="69">
        <v>13</v>
      </c>
      <c r="N300" s="69">
        <v>14</v>
      </c>
      <c r="O300" s="69">
        <v>15</v>
      </c>
      <c r="P300" s="69">
        <v>16</v>
      </c>
      <c r="Q300" s="94">
        <v>17</v>
      </c>
      <c r="R300" s="69">
        <v>18</v>
      </c>
      <c r="S300" s="94">
        <v>19</v>
      </c>
      <c r="T300" s="69">
        <v>20</v>
      </c>
      <c r="U300" s="94">
        <v>21</v>
      </c>
      <c r="V300" s="94">
        <v>22</v>
      </c>
      <c r="W300" s="69">
        <v>23</v>
      </c>
      <c r="X300" s="69">
        <v>24</v>
      </c>
      <c r="Y300" s="94">
        <v>25</v>
      </c>
      <c r="Z300" s="69">
        <v>26</v>
      </c>
      <c r="AA300" s="69">
        <v>27</v>
      </c>
      <c r="AB300" s="69">
        <v>28</v>
      </c>
      <c r="AC300" s="94">
        <v>29</v>
      </c>
      <c r="AD300" s="69">
        <v>30</v>
      </c>
      <c r="AE300" s="69">
        <v>31</v>
      </c>
      <c r="AF300" s="92">
        <v>32</v>
      </c>
    </row>
    <row r="301" spans="1:32" ht="47.25" thickBot="1">
      <c r="A301" s="165" t="s">
        <v>7</v>
      </c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7"/>
    </row>
    <row r="302" spans="1:32" ht="47.25" thickBot="1">
      <c r="A302" s="44">
        <v>39</v>
      </c>
      <c r="B302" s="45" t="s">
        <v>23</v>
      </c>
      <c r="C302" s="46"/>
      <c r="D302" s="51"/>
      <c r="E302" s="51"/>
      <c r="F302" s="51"/>
      <c r="G302" s="51"/>
      <c r="H302" s="51">
        <v>16</v>
      </c>
      <c r="I302" s="51"/>
      <c r="J302" s="51"/>
      <c r="K302" s="51"/>
      <c r="L302" s="51"/>
      <c r="M302" s="51"/>
      <c r="N302" s="51"/>
      <c r="O302" s="44"/>
      <c r="P302" s="52">
        <v>2</v>
      </c>
      <c r="Q302" s="44">
        <v>1</v>
      </c>
      <c r="R302" s="52"/>
      <c r="S302" s="44"/>
      <c r="T302" s="52">
        <v>154</v>
      </c>
      <c r="U302" s="44"/>
      <c r="V302" s="52"/>
      <c r="W302" s="46"/>
      <c r="X302" s="52"/>
      <c r="Y302" s="44"/>
      <c r="Z302" s="52"/>
      <c r="AA302" s="44"/>
      <c r="AB302" s="52"/>
      <c r="AC302" s="46"/>
      <c r="AD302" s="44"/>
      <c r="AE302" s="44"/>
      <c r="AF302" s="51"/>
    </row>
    <row r="303" spans="1:32" ht="47.25" thickBot="1">
      <c r="A303" s="44">
        <v>15</v>
      </c>
      <c r="B303" s="45" t="s">
        <v>18</v>
      </c>
      <c r="C303" s="46"/>
      <c r="D303" s="57"/>
      <c r="E303" s="57"/>
      <c r="F303" s="57"/>
      <c r="G303" s="57"/>
      <c r="H303" s="51"/>
      <c r="I303" s="51"/>
      <c r="J303" s="51"/>
      <c r="K303" s="51"/>
      <c r="L303" s="51"/>
      <c r="M303" s="51"/>
      <c r="N303" s="51"/>
      <c r="O303" s="52"/>
      <c r="P303" s="46">
        <v>12</v>
      </c>
      <c r="Q303" s="52"/>
      <c r="R303" s="46"/>
      <c r="S303" s="52"/>
      <c r="T303" s="46">
        <v>84</v>
      </c>
      <c r="U303" s="52"/>
      <c r="V303" s="44"/>
      <c r="W303" s="46"/>
      <c r="X303" s="44"/>
      <c r="Y303" s="52"/>
      <c r="Z303" s="46"/>
      <c r="AA303" s="46"/>
      <c r="AB303" s="52"/>
      <c r="AC303" s="44"/>
      <c r="AD303" s="46">
        <v>1.2</v>
      </c>
      <c r="AE303" s="52"/>
      <c r="AF303" s="46"/>
    </row>
    <row r="304" spans="1:32" ht="47.25" thickBot="1">
      <c r="A304" s="44">
        <v>101</v>
      </c>
      <c r="B304" s="45" t="s">
        <v>233</v>
      </c>
      <c r="C304" s="46" t="s">
        <v>79</v>
      </c>
      <c r="D304" s="57"/>
      <c r="E304" s="57"/>
      <c r="F304" s="57"/>
      <c r="G304" s="57"/>
      <c r="H304" s="51"/>
      <c r="I304" s="51"/>
      <c r="J304" s="51"/>
      <c r="K304" s="51"/>
      <c r="L304" s="51"/>
      <c r="M304" s="51"/>
      <c r="N304" s="51"/>
      <c r="O304" s="52"/>
      <c r="P304" s="46"/>
      <c r="Q304" s="46"/>
      <c r="R304" s="46"/>
      <c r="S304" s="52"/>
      <c r="T304" s="46">
        <v>15</v>
      </c>
      <c r="U304" s="52"/>
      <c r="V304" s="46"/>
      <c r="W304" s="46"/>
      <c r="X304" s="52"/>
      <c r="Y304" s="46"/>
      <c r="Z304" s="46"/>
      <c r="AA304" s="46"/>
      <c r="AB304" s="52"/>
      <c r="AC304" s="44"/>
      <c r="AD304" s="46"/>
      <c r="AE304" s="52"/>
      <c r="AF304" s="46"/>
    </row>
    <row r="305" spans="1:32" ht="47.25" thickBot="1">
      <c r="A305" s="44"/>
      <c r="B305" s="45" t="s">
        <v>8</v>
      </c>
      <c r="C305" s="46">
        <f>C302+C303+C304</f>
        <v>30</v>
      </c>
      <c r="D305" s="46">
        <f aca="true" t="shared" si="59" ref="D305:AF305">D302+D303+D304</f>
        <v>0</v>
      </c>
      <c r="E305" s="46">
        <f t="shared" si="59"/>
        <v>0</v>
      </c>
      <c r="F305" s="46">
        <f t="shared" si="59"/>
        <v>0</v>
      </c>
      <c r="G305" s="46">
        <f t="shared" si="59"/>
        <v>0</v>
      </c>
      <c r="H305" s="46">
        <f t="shared" si="59"/>
        <v>16</v>
      </c>
      <c r="I305" s="46">
        <f t="shared" si="59"/>
        <v>0</v>
      </c>
      <c r="J305" s="46">
        <f t="shared" si="59"/>
        <v>0</v>
      </c>
      <c r="K305" s="46">
        <f t="shared" si="59"/>
        <v>0</v>
      </c>
      <c r="L305" s="46">
        <f t="shared" si="59"/>
        <v>0</v>
      </c>
      <c r="M305" s="46">
        <f t="shared" si="59"/>
        <v>0</v>
      </c>
      <c r="N305" s="46">
        <f t="shared" si="59"/>
        <v>0</v>
      </c>
      <c r="O305" s="46">
        <f t="shared" si="59"/>
        <v>0</v>
      </c>
      <c r="P305" s="46">
        <f t="shared" si="59"/>
        <v>14</v>
      </c>
      <c r="Q305" s="46">
        <f t="shared" si="59"/>
        <v>1</v>
      </c>
      <c r="R305" s="46">
        <f t="shared" si="59"/>
        <v>0</v>
      </c>
      <c r="S305" s="46">
        <f t="shared" si="59"/>
        <v>0</v>
      </c>
      <c r="T305" s="46">
        <f t="shared" si="59"/>
        <v>253</v>
      </c>
      <c r="U305" s="46">
        <f t="shared" si="59"/>
        <v>0</v>
      </c>
      <c r="V305" s="46">
        <f t="shared" si="59"/>
        <v>0</v>
      </c>
      <c r="W305" s="46">
        <f t="shared" si="59"/>
        <v>0</v>
      </c>
      <c r="X305" s="46">
        <f t="shared" si="59"/>
        <v>0</v>
      </c>
      <c r="Y305" s="46">
        <f t="shared" si="59"/>
        <v>0</v>
      </c>
      <c r="Z305" s="46">
        <f t="shared" si="59"/>
        <v>0</v>
      </c>
      <c r="AA305" s="46">
        <f t="shared" si="59"/>
        <v>0</v>
      </c>
      <c r="AB305" s="46">
        <f t="shared" si="59"/>
        <v>0</v>
      </c>
      <c r="AC305" s="46">
        <f t="shared" si="59"/>
        <v>0</v>
      </c>
      <c r="AD305" s="46">
        <f t="shared" si="59"/>
        <v>1.2</v>
      </c>
      <c r="AE305" s="46">
        <f t="shared" si="59"/>
        <v>0</v>
      </c>
      <c r="AF305" s="46">
        <f t="shared" si="59"/>
        <v>0</v>
      </c>
    </row>
    <row r="306" spans="1:32" ht="47.25" thickBot="1">
      <c r="A306" s="156" t="s">
        <v>107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57"/>
    </row>
    <row r="307" spans="1:32" ht="47.25" thickBot="1">
      <c r="A307" s="44" t="s">
        <v>45</v>
      </c>
      <c r="B307" s="48" t="s">
        <v>108</v>
      </c>
      <c r="C307" s="46"/>
      <c r="D307" s="51"/>
      <c r="E307" s="51"/>
      <c r="F307" s="51"/>
      <c r="G307" s="51"/>
      <c r="H307" s="51"/>
      <c r="I307" s="51"/>
      <c r="J307" s="51"/>
      <c r="K307" s="51">
        <v>90</v>
      </c>
      <c r="L307" s="51"/>
      <c r="M307" s="51"/>
      <c r="N307" s="51"/>
      <c r="O307" s="52"/>
      <c r="P307" s="46"/>
      <c r="Q307" s="52"/>
      <c r="R307" s="46"/>
      <c r="S307" s="52"/>
      <c r="T307" s="46"/>
      <c r="U307" s="52"/>
      <c r="V307" s="46"/>
      <c r="W307" s="46"/>
      <c r="X307" s="52"/>
      <c r="Y307" s="46"/>
      <c r="Z307" s="46"/>
      <c r="AA307" s="52"/>
      <c r="AB307" s="46"/>
      <c r="AC307" s="52"/>
      <c r="AD307" s="46"/>
      <c r="AE307" s="46"/>
      <c r="AF307" s="51"/>
    </row>
    <row r="308" spans="1:32" ht="47.25" thickBot="1">
      <c r="A308" s="44" t="s">
        <v>45</v>
      </c>
      <c r="B308" s="45" t="s">
        <v>78</v>
      </c>
      <c r="C308" s="46"/>
      <c r="D308" s="57"/>
      <c r="E308" s="57"/>
      <c r="F308" s="57"/>
      <c r="G308" s="57"/>
      <c r="H308" s="51"/>
      <c r="I308" s="51"/>
      <c r="J308" s="51"/>
      <c r="K308" s="51"/>
      <c r="L308" s="51"/>
      <c r="M308" s="51">
        <v>110</v>
      </c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46"/>
      <c r="AC308" s="51"/>
      <c r="AD308" s="51"/>
      <c r="AE308" s="51"/>
      <c r="AF308" s="51"/>
    </row>
    <row r="309" spans="1:32" ht="47.25" thickBot="1">
      <c r="A309" s="44"/>
      <c r="B309" s="45" t="s">
        <v>37</v>
      </c>
      <c r="C309" s="46">
        <f>SUM(C307:C308)</f>
        <v>0</v>
      </c>
      <c r="D309" s="46">
        <f aca="true" t="shared" si="60" ref="D309:O309">SUM(D307:D308)</f>
        <v>0</v>
      </c>
      <c r="E309" s="46">
        <f t="shared" si="60"/>
        <v>0</v>
      </c>
      <c r="F309" s="46">
        <f t="shared" si="60"/>
        <v>0</v>
      </c>
      <c r="G309" s="46">
        <f t="shared" si="60"/>
        <v>0</v>
      </c>
      <c r="H309" s="46">
        <f t="shared" si="60"/>
        <v>0</v>
      </c>
      <c r="I309" s="46">
        <f t="shared" si="60"/>
        <v>0</v>
      </c>
      <c r="J309" s="46">
        <f t="shared" si="60"/>
        <v>0</v>
      </c>
      <c r="K309" s="46">
        <f t="shared" si="60"/>
        <v>90</v>
      </c>
      <c r="L309" s="46">
        <f t="shared" si="60"/>
        <v>0</v>
      </c>
      <c r="M309" s="46">
        <f t="shared" si="60"/>
        <v>110</v>
      </c>
      <c r="N309" s="46">
        <f t="shared" si="60"/>
        <v>0</v>
      </c>
      <c r="O309" s="46">
        <f t="shared" si="60"/>
        <v>0</v>
      </c>
      <c r="P309" s="51">
        <f aca="true" t="shared" si="61" ref="P309:AE309">SUM(P307)</f>
        <v>0</v>
      </c>
      <c r="Q309" s="51">
        <f t="shared" si="61"/>
        <v>0</v>
      </c>
      <c r="R309" s="51">
        <f t="shared" si="61"/>
        <v>0</v>
      </c>
      <c r="S309" s="51">
        <f t="shared" si="61"/>
        <v>0</v>
      </c>
      <c r="T309" s="51">
        <f t="shared" si="61"/>
        <v>0</v>
      </c>
      <c r="U309" s="51">
        <f t="shared" si="61"/>
        <v>0</v>
      </c>
      <c r="V309" s="51">
        <f t="shared" si="61"/>
        <v>0</v>
      </c>
      <c r="W309" s="51">
        <f t="shared" si="61"/>
        <v>0</v>
      </c>
      <c r="X309" s="51">
        <f t="shared" si="61"/>
        <v>0</v>
      </c>
      <c r="Y309" s="51">
        <f t="shared" si="61"/>
        <v>0</v>
      </c>
      <c r="Z309" s="51">
        <f t="shared" si="61"/>
        <v>0</v>
      </c>
      <c r="AA309" s="51">
        <f t="shared" si="61"/>
        <v>0</v>
      </c>
      <c r="AB309" s="51">
        <f t="shared" si="61"/>
        <v>0</v>
      </c>
      <c r="AC309" s="51">
        <f t="shared" si="61"/>
        <v>0</v>
      </c>
      <c r="AD309" s="51">
        <f t="shared" si="61"/>
        <v>0</v>
      </c>
      <c r="AE309" s="51">
        <f t="shared" si="61"/>
        <v>0</v>
      </c>
      <c r="AF309" s="51">
        <f>SUM(AF307)</f>
        <v>0</v>
      </c>
    </row>
    <row r="310" spans="1:32" ht="47.25" thickBot="1">
      <c r="A310" s="165" t="s">
        <v>10</v>
      </c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7"/>
    </row>
    <row r="311" spans="1:32" ht="47.25" thickBot="1">
      <c r="A311" s="46">
        <v>81</v>
      </c>
      <c r="B311" s="48" t="s">
        <v>194</v>
      </c>
      <c r="C311" s="46"/>
      <c r="D311" s="51"/>
      <c r="E311" s="51"/>
      <c r="F311" s="51"/>
      <c r="G311" s="51"/>
      <c r="H311" s="51"/>
      <c r="I311" s="51"/>
      <c r="J311" s="51">
        <v>56</v>
      </c>
      <c r="K311" s="51"/>
      <c r="L311" s="51"/>
      <c r="M311" s="51"/>
      <c r="N311" s="51"/>
      <c r="O311" s="52"/>
      <c r="P311" s="46"/>
      <c r="Q311" s="52"/>
      <c r="R311" s="46">
        <v>5</v>
      </c>
      <c r="S311" s="52"/>
      <c r="T311" s="46"/>
      <c r="U311" s="46"/>
      <c r="V311" s="52"/>
      <c r="W311" s="46"/>
      <c r="X311" s="52"/>
      <c r="Y311" s="46"/>
      <c r="Z311" s="46"/>
      <c r="AA311" s="52"/>
      <c r="AB311" s="46"/>
      <c r="AC311" s="52"/>
      <c r="AD311" s="46"/>
      <c r="AE311" s="46"/>
      <c r="AF311" s="51"/>
    </row>
    <row r="312" spans="1:32" ht="93.75" thickBot="1">
      <c r="A312" s="44">
        <v>25</v>
      </c>
      <c r="B312" s="45" t="s">
        <v>59</v>
      </c>
      <c r="C312" s="46"/>
      <c r="D312" s="51"/>
      <c r="E312" s="51"/>
      <c r="F312" s="51"/>
      <c r="G312" s="51">
        <v>5</v>
      </c>
      <c r="H312" s="51"/>
      <c r="I312" s="51">
        <v>75</v>
      </c>
      <c r="J312" s="51">
        <v>35</v>
      </c>
      <c r="K312" s="51"/>
      <c r="L312" s="51"/>
      <c r="M312" s="51"/>
      <c r="N312" s="51"/>
      <c r="O312" s="44"/>
      <c r="P312" s="52"/>
      <c r="Q312" s="44">
        <v>4</v>
      </c>
      <c r="R312" s="52"/>
      <c r="S312" s="44"/>
      <c r="T312" s="52"/>
      <c r="U312" s="44"/>
      <c r="V312" s="52"/>
      <c r="W312" s="44">
        <v>16</v>
      </c>
      <c r="X312" s="52"/>
      <c r="Y312" s="44"/>
      <c r="Z312" s="46">
        <v>7</v>
      </c>
      <c r="AA312" s="44"/>
      <c r="AB312" s="44"/>
      <c r="AC312" s="52"/>
      <c r="AD312" s="44"/>
      <c r="AE312" s="44"/>
      <c r="AF312" s="51"/>
    </row>
    <row r="313" spans="1:32" ht="47.25" thickBot="1">
      <c r="A313" s="46">
        <v>44</v>
      </c>
      <c r="B313" s="45" t="s">
        <v>204</v>
      </c>
      <c r="C313" s="51"/>
      <c r="D313" s="51"/>
      <c r="E313" s="51"/>
      <c r="F313" s="51"/>
      <c r="G313" s="51"/>
      <c r="H313" s="51"/>
      <c r="I313" s="51"/>
      <c r="J313" s="51">
        <v>16</v>
      </c>
      <c r="K313" s="51"/>
      <c r="L313" s="51"/>
      <c r="M313" s="51"/>
      <c r="N313" s="51"/>
      <c r="O313" s="51"/>
      <c r="P313" s="51"/>
      <c r="Q313" s="51"/>
      <c r="R313" s="51">
        <v>6</v>
      </c>
      <c r="S313" s="51"/>
      <c r="T313" s="51">
        <v>16</v>
      </c>
      <c r="U313" s="51"/>
      <c r="V313" s="51"/>
      <c r="W313" s="51"/>
      <c r="X313" s="51"/>
      <c r="Y313" s="51">
        <v>77</v>
      </c>
      <c r="Z313" s="51"/>
      <c r="AA313" s="51"/>
      <c r="AB313" s="51"/>
      <c r="AC313" s="51"/>
      <c r="AD313" s="51"/>
      <c r="AE313" s="51"/>
      <c r="AF313" s="51"/>
    </row>
    <row r="314" spans="1:32" ht="47.25" thickBot="1">
      <c r="A314" s="46">
        <v>8</v>
      </c>
      <c r="B314" s="45" t="s">
        <v>55</v>
      </c>
      <c r="C314" s="46"/>
      <c r="D314" s="51"/>
      <c r="E314" s="51"/>
      <c r="F314" s="51"/>
      <c r="G314" s="51"/>
      <c r="H314" s="51"/>
      <c r="I314" s="51">
        <v>128</v>
      </c>
      <c r="J314" s="51"/>
      <c r="K314" s="51"/>
      <c r="L314" s="51"/>
      <c r="M314" s="51"/>
      <c r="N314" s="51"/>
      <c r="O314" s="52"/>
      <c r="P314" s="44"/>
      <c r="Q314" s="52">
        <v>5</v>
      </c>
      <c r="R314" s="44"/>
      <c r="S314" s="52"/>
      <c r="T314" s="44">
        <v>24</v>
      </c>
      <c r="U314" s="66"/>
      <c r="V314" s="44"/>
      <c r="W314" s="44"/>
      <c r="X314" s="52"/>
      <c r="Y314" s="44"/>
      <c r="Z314" s="44"/>
      <c r="AA314" s="52"/>
      <c r="AB314" s="44"/>
      <c r="AC314" s="52"/>
      <c r="AD314" s="44"/>
      <c r="AE314" s="44"/>
      <c r="AF314" s="51"/>
    </row>
    <row r="315" spans="1:32" ht="47.25" thickBot="1">
      <c r="A315" s="44">
        <v>20</v>
      </c>
      <c r="B315" s="45" t="s">
        <v>43</v>
      </c>
      <c r="C315" s="46"/>
      <c r="D315" s="57"/>
      <c r="E315" s="57"/>
      <c r="F315" s="57">
        <v>7.5</v>
      </c>
      <c r="G315" s="57"/>
      <c r="H315" s="51"/>
      <c r="I315" s="51"/>
      <c r="J315" s="51"/>
      <c r="K315" s="51"/>
      <c r="L315" s="51"/>
      <c r="M315" s="51">
        <v>2</v>
      </c>
      <c r="N315" s="51"/>
      <c r="O315" s="52"/>
      <c r="P315" s="46">
        <v>15</v>
      </c>
      <c r="Q315" s="52"/>
      <c r="R315" s="46"/>
      <c r="S315" s="52"/>
      <c r="T315" s="46"/>
      <c r="U315" s="52"/>
      <c r="V315" s="44"/>
      <c r="W315" s="46"/>
      <c r="X315" s="52"/>
      <c r="Y315" s="44"/>
      <c r="Z315" s="46"/>
      <c r="AA315" s="46"/>
      <c r="AB315" s="52"/>
      <c r="AC315" s="44"/>
      <c r="AD315" s="46"/>
      <c r="AE315" s="52"/>
      <c r="AF315" s="46"/>
    </row>
    <row r="316" spans="1:32" ht="47.25" thickBot="1">
      <c r="A316" s="44" t="s">
        <v>45</v>
      </c>
      <c r="B316" s="45" t="s">
        <v>114</v>
      </c>
      <c r="C316" s="51">
        <v>35</v>
      </c>
      <c r="D316" s="51"/>
      <c r="E316" s="51"/>
      <c r="F316" s="51"/>
      <c r="G316" s="51"/>
      <c r="H316" s="51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1"/>
    </row>
    <row r="317" spans="1:32" ht="47.25" thickBot="1">
      <c r="A317" s="44" t="s">
        <v>45</v>
      </c>
      <c r="B317" s="45" t="s">
        <v>144</v>
      </c>
      <c r="C317" s="46"/>
      <c r="D317" s="51">
        <v>45</v>
      </c>
      <c r="E317" s="51"/>
      <c r="F317" s="51"/>
      <c r="G317" s="51"/>
      <c r="H317" s="51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1"/>
    </row>
    <row r="318" spans="1:32" ht="47.25" thickBot="1">
      <c r="A318" s="46"/>
      <c r="B318" s="48" t="s">
        <v>37</v>
      </c>
      <c r="C318" s="46">
        <f>SUM(C311:C317)</f>
        <v>35</v>
      </c>
      <c r="D318" s="46">
        <f aca="true" t="shared" si="62" ref="D318:AF318">SUM(D311:D317)</f>
        <v>45</v>
      </c>
      <c r="E318" s="46">
        <f t="shared" si="62"/>
        <v>0</v>
      </c>
      <c r="F318" s="46">
        <f t="shared" si="62"/>
        <v>7.5</v>
      </c>
      <c r="G318" s="46">
        <f t="shared" si="62"/>
        <v>5</v>
      </c>
      <c r="H318" s="46">
        <f t="shared" si="62"/>
        <v>0</v>
      </c>
      <c r="I318" s="46">
        <f t="shared" si="62"/>
        <v>203</v>
      </c>
      <c r="J318" s="46">
        <f t="shared" si="62"/>
        <v>107</v>
      </c>
      <c r="K318" s="46">
        <f t="shared" si="62"/>
        <v>0</v>
      </c>
      <c r="L318" s="46">
        <f t="shared" si="62"/>
        <v>0</v>
      </c>
      <c r="M318" s="46">
        <f t="shared" si="62"/>
        <v>2</v>
      </c>
      <c r="N318" s="46">
        <f t="shared" si="62"/>
        <v>0</v>
      </c>
      <c r="O318" s="46">
        <f t="shared" si="62"/>
        <v>0</v>
      </c>
      <c r="P318" s="46">
        <f t="shared" si="62"/>
        <v>15</v>
      </c>
      <c r="Q318" s="46">
        <f t="shared" si="62"/>
        <v>9</v>
      </c>
      <c r="R318" s="46">
        <f t="shared" si="62"/>
        <v>11</v>
      </c>
      <c r="S318" s="46">
        <f t="shared" si="62"/>
        <v>0</v>
      </c>
      <c r="T318" s="46">
        <f t="shared" si="62"/>
        <v>40</v>
      </c>
      <c r="U318" s="46">
        <f t="shared" si="62"/>
        <v>0</v>
      </c>
      <c r="V318" s="46">
        <f t="shared" si="62"/>
        <v>0</v>
      </c>
      <c r="W318" s="46">
        <f t="shared" si="62"/>
        <v>16</v>
      </c>
      <c r="X318" s="46">
        <f t="shared" si="62"/>
        <v>0</v>
      </c>
      <c r="Y318" s="46">
        <f t="shared" si="62"/>
        <v>77</v>
      </c>
      <c r="Z318" s="46">
        <f t="shared" si="62"/>
        <v>7</v>
      </c>
      <c r="AA318" s="46">
        <f t="shared" si="62"/>
        <v>0</v>
      </c>
      <c r="AB318" s="46">
        <f t="shared" si="62"/>
        <v>0</v>
      </c>
      <c r="AC318" s="46">
        <f t="shared" si="62"/>
        <v>0</v>
      </c>
      <c r="AD318" s="46">
        <f t="shared" si="62"/>
        <v>0</v>
      </c>
      <c r="AE318" s="46">
        <f t="shared" si="62"/>
        <v>0</v>
      </c>
      <c r="AF318" s="46">
        <f t="shared" si="62"/>
        <v>0</v>
      </c>
    </row>
    <row r="319" spans="1:32" ht="46.5" customHeight="1" thickBot="1">
      <c r="A319" s="156" t="s">
        <v>207</v>
      </c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57"/>
    </row>
    <row r="320" spans="1:32" ht="47.25" thickBot="1">
      <c r="A320" s="46">
        <v>73</v>
      </c>
      <c r="B320" s="45" t="s">
        <v>212</v>
      </c>
      <c r="C320" s="46">
        <v>10</v>
      </c>
      <c r="D320" s="51"/>
      <c r="E320" s="51"/>
      <c r="F320" s="51"/>
      <c r="G320" s="51">
        <v>10</v>
      </c>
      <c r="H320" s="51"/>
      <c r="I320" s="57">
        <v>78</v>
      </c>
      <c r="J320" s="57">
        <v>169</v>
      </c>
      <c r="K320" s="57"/>
      <c r="L320" s="57"/>
      <c r="M320" s="57"/>
      <c r="N320" s="57"/>
      <c r="O320" s="57"/>
      <c r="P320" s="57"/>
      <c r="Q320" s="57">
        <v>4</v>
      </c>
      <c r="R320" s="57">
        <v>8</v>
      </c>
      <c r="S320" s="57">
        <v>8</v>
      </c>
      <c r="T320" s="57"/>
      <c r="U320" s="57"/>
      <c r="V320" s="57"/>
      <c r="W320" s="57"/>
      <c r="X320" s="57"/>
      <c r="Y320" s="57"/>
      <c r="Z320" s="57">
        <v>6</v>
      </c>
      <c r="AA320" s="57"/>
      <c r="AB320" s="57"/>
      <c r="AC320" s="57"/>
      <c r="AD320" s="57"/>
      <c r="AE320" s="57"/>
      <c r="AF320" s="51"/>
    </row>
    <row r="321" spans="1:32" ht="47.25" thickBot="1">
      <c r="A321" s="49">
        <v>31</v>
      </c>
      <c r="B321" s="50" t="s">
        <v>11</v>
      </c>
      <c r="C321" s="46"/>
      <c r="D321" s="51"/>
      <c r="E321" s="51"/>
      <c r="F321" s="51"/>
      <c r="G321" s="51"/>
      <c r="H321" s="51"/>
      <c r="I321" s="51"/>
      <c r="J321" s="51"/>
      <c r="K321" s="51"/>
      <c r="L321" s="51"/>
      <c r="M321" s="51">
        <v>6</v>
      </c>
      <c r="N321" s="51"/>
      <c r="O321" s="51"/>
      <c r="P321" s="46">
        <v>12</v>
      </c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46">
        <v>0.6</v>
      </c>
      <c r="AC321" s="51"/>
      <c r="AD321" s="51"/>
      <c r="AE321" s="51"/>
      <c r="AF321" s="51"/>
    </row>
    <row r="322" spans="1:32" ht="47.25" thickBot="1">
      <c r="A322" s="44" t="s">
        <v>45</v>
      </c>
      <c r="B322" s="45" t="s">
        <v>114</v>
      </c>
      <c r="C322" s="46">
        <v>30</v>
      </c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</row>
    <row r="323" spans="1:32" ht="47.25" thickBot="1">
      <c r="A323" s="44">
        <v>21</v>
      </c>
      <c r="B323" s="73" t="s">
        <v>38</v>
      </c>
      <c r="C323" s="44"/>
      <c r="D323" s="51"/>
      <c r="E323" s="44"/>
      <c r="F323" s="44"/>
      <c r="G323" s="44"/>
      <c r="H323" s="51"/>
      <c r="I323" s="51"/>
      <c r="J323" s="51"/>
      <c r="K323" s="51"/>
      <c r="L323" s="51"/>
      <c r="M323" s="51"/>
      <c r="N323" s="51"/>
      <c r="O323" s="52"/>
      <c r="P323" s="46"/>
      <c r="Q323" s="52"/>
      <c r="R323" s="46"/>
      <c r="S323" s="52"/>
      <c r="T323" s="46">
        <v>154</v>
      </c>
      <c r="U323" s="52"/>
      <c r="V323" s="46"/>
      <c r="W323" s="46"/>
      <c r="X323" s="52"/>
      <c r="Y323" s="46"/>
      <c r="Z323" s="46"/>
      <c r="AA323" s="52"/>
      <c r="AB323" s="46"/>
      <c r="AC323" s="52"/>
      <c r="AD323" s="46"/>
      <c r="AE323" s="46"/>
      <c r="AF323" s="51"/>
    </row>
    <row r="324" spans="1:32" ht="47.25" thickBot="1">
      <c r="A324" s="44">
        <v>36</v>
      </c>
      <c r="B324" s="45" t="s">
        <v>132</v>
      </c>
      <c r="C324" s="46"/>
      <c r="D324" s="51"/>
      <c r="E324" s="51">
        <v>35</v>
      </c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>
        <v>10</v>
      </c>
      <c r="Q324" s="51">
        <v>3</v>
      </c>
      <c r="R324" s="51">
        <v>0.9</v>
      </c>
      <c r="S324" s="51">
        <v>10</v>
      </c>
      <c r="T324" s="51"/>
      <c r="U324" s="51"/>
      <c r="V324" s="51"/>
      <c r="W324" s="51"/>
      <c r="X324" s="51"/>
      <c r="Y324" s="51"/>
      <c r="Z324" s="51">
        <v>27</v>
      </c>
      <c r="AA324" s="51"/>
      <c r="AB324" s="51"/>
      <c r="AC324" s="51"/>
      <c r="AD324" s="51"/>
      <c r="AE324" s="51"/>
      <c r="AF324" s="92"/>
    </row>
    <row r="325" spans="1:32" ht="47.25" thickBot="1">
      <c r="A325" s="44"/>
      <c r="B325" s="45" t="s">
        <v>37</v>
      </c>
      <c r="C325" s="46">
        <f>SUM(C320:C324)</f>
        <v>40</v>
      </c>
      <c r="D325" s="46">
        <f aca="true" t="shared" si="63" ref="D325:AF325">SUM(D320:D324)</f>
        <v>0</v>
      </c>
      <c r="E325" s="46">
        <f t="shared" si="63"/>
        <v>35</v>
      </c>
      <c r="F325" s="46">
        <f t="shared" si="63"/>
        <v>0</v>
      </c>
      <c r="G325" s="46">
        <f t="shared" si="63"/>
        <v>10</v>
      </c>
      <c r="H325" s="46">
        <f t="shared" si="63"/>
        <v>0</v>
      </c>
      <c r="I325" s="46">
        <f t="shared" si="63"/>
        <v>78</v>
      </c>
      <c r="J325" s="46">
        <f t="shared" si="63"/>
        <v>169</v>
      </c>
      <c r="K325" s="46">
        <f t="shared" si="63"/>
        <v>0</v>
      </c>
      <c r="L325" s="46">
        <f t="shared" si="63"/>
        <v>0</v>
      </c>
      <c r="M325" s="46">
        <f t="shared" si="63"/>
        <v>6</v>
      </c>
      <c r="N325" s="46">
        <f t="shared" si="63"/>
        <v>0</v>
      </c>
      <c r="O325" s="46">
        <f t="shared" si="63"/>
        <v>0</v>
      </c>
      <c r="P325" s="46">
        <f t="shared" si="63"/>
        <v>22</v>
      </c>
      <c r="Q325" s="46">
        <f t="shared" si="63"/>
        <v>7</v>
      </c>
      <c r="R325" s="46">
        <f t="shared" si="63"/>
        <v>8.9</v>
      </c>
      <c r="S325" s="46">
        <f t="shared" si="63"/>
        <v>18</v>
      </c>
      <c r="T325" s="46">
        <f t="shared" si="63"/>
        <v>154</v>
      </c>
      <c r="U325" s="46">
        <f t="shared" si="63"/>
        <v>0</v>
      </c>
      <c r="V325" s="46">
        <f t="shared" si="63"/>
        <v>0</v>
      </c>
      <c r="W325" s="46">
        <f t="shared" si="63"/>
        <v>0</v>
      </c>
      <c r="X325" s="46">
        <f t="shared" si="63"/>
        <v>0</v>
      </c>
      <c r="Y325" s="46">
        <f t="shared" si="63"/>
        <v>0</v>
      </c>
      <c r="Z325" s="46">
        <f t="shared" si="63"/>
        <v>33</v>
      </c>
      <c r="AA325" s="46">
        <f t="shared" si="63"/>
        <v>0</v>
      </c>
      <c r="AB325" s="46">
        <f t="shared" si="63"/>
        <v>0.6</v>
      </c>
      <c r="AC325" s="46">
        <f t="shared" si="63"/>
        <v>0</v>
      </c>
      <c r="AD325" s="46">
        <f t="shared" si="63"/>
        <v>0</v>
      </c>
      <c r="AE325" s="46">
        <f t="shared" si="63"/>
        <v>0</v>
      </c>
      <c r="AF325" s="46">
        <f t="shared" si="63"/>
        <v>0</v>
      </c>
    </row>
    <row r="326" spans="1:32" ht="93.75" thickBot="1">
      <c r="A326" s="95"/>
      <c r="B326" s="45" t="s">
        <v>145</v>
      </c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>
        <v>6</v>
      </c>
      <c r="AF326" s="46"/>
    </row>
    <row r="327" spans="1:32" ht="47.25" thickBot="1">
      <c r="A327" s="44"/>
      <c r="B327" s="74" t="s">
        <v>12</v>
      </c>
      <c r="C327" s="46">
        <f>SUM(C305+C318+C325+C309)</f>
        <v>105</v>
      </c>
      <c r="D327" s="46">
        <f aca="true" t="shared" si="64" ref="D327:AF327">SUM(D305+D318+D325+D309)</f>
        <v>45</v>
      </c>
      <c r="E327" s="46">
        <f t="shared" si="64"/>
        <v>35</v>
      </c>
      <c r="F327" s="46">
        <f t="shared" si="64"/>
        <v>7.5</v>
      </c>
      <c r="G327" s="46">
        <f t="shared" si="64"/>
        <v>15</v>
      </c>
      <c r="H327" s="46">
        <f t="shared" si="64"/>
        <v>16</v>
      </c>
      <c r="I327" s="46">
        <f t="shared" si="64"/>
        <v>281</v>
      </c>
      <c r="J327" s="46">
        <f t="shared" si="64"/>
        <v>276</v>
      </c>
      <c r="K327" s="46">
        <f t="shared" si="64"/>
        <v>90</v>
      </c>
      <c r="L327" s="46">
        <f t="shared" si="64"/>
        <v>0</v>
      </c>
      <c r="M327" s="46">
        <f t="shared" si="64"/>
        <v>118</v>
      </c>
      <c r="N327" s="46">
        <f t="shared" si="64"/>
        <v>0</v>
      </c>
      <c r="O327" s="46">
        <f t="shared" si="64"/>
        <v>0</v>
      </c>
      <c r="P327" s="46">
        <f t="shared" si="64"/>
        <v>51</v>
      </c>
      <c r="Q327" s="46">
        <f t="shared" si="64"/>
        <v>17</v>
      </c>
      <c r="R327" s="46">
        <f t="shared" si="64"/>
        <v>19.9</v>
      </c>
      <c r="S327" s="46">
        <f t="shared" si="64"/>
        <v>18</v>
      </c>
      <c r="T327" s="46">
        <f t="shared" si="64"/>
        <v>447</v>
      </c>
      <c r="U327" s="46">
        <f t="shared" si="64"/>
        <v>0</v>
      </c>
      <c r="V327" s="46">
        <f t="shared" si="64"/>
        <v>0</v>
      </c>
      <c r="W327" s="46">
        <f t="shared" si="64"/>
        <v>16</v>
      </c>
      <c r="X327" s="46">
        <f t="shared" si="64"/>
        <v>0</v>
      </c>
      <c r="Y327" s="46">
        <f t="shared" si="64"/>
        <v>77</v>
      </c>
      <c r="Z327" s="46">
        <f t="shared" si="64"/>
        <v>40</v>
      </c>
      <c r="AA327" s="46">
        <f t="shared" si="64"/>
        <v>0</v>
      </c>
      <c r="AB327" s="46">
        <f t="shared" si="64"/>
        <v>0.6</v>
      </c>
      <c r="AC327" s="46">
        <f t="shared" si="64"/>
        <v>0</v>
      </c>
      <c r="AD327" s="46">
        <f t="shared" si="64"/>
        <v>1.2</v>
      </c>
      <c r="AE327" s="46">
        <v>6</v>
      </c>
      <c r="AF327" s="46">
        <f t="shared" si="64"/>
        <v>0</v>
      </c>
    </row>
    <row r="328" spans="1:32" ht="45.75" customHeight="1">
      <c r="A328" s="160"/>
      <c r="B328" s="161"/>
      <c r="C328" s="154" t="s">
        <v>114</v>
      </c>
      <c r="D328" s="154" t="s">
        <v>115</v>
      </c>
      <c r="E328" s="154" t="s">
        <v>116</v>
      </c>
      <c r="F328" s="154" t="s">
        <v>117</v>
      </c>
      <c r="G328" s="154" t="s">
        <v>109</v>
      </c>
      <c r="H328" s="154" t="s">
        <v>118</v>
      </c>
      <c r="I328" s="154" t="s">
        <v>246</v>
      </c>
      <c r="J328" s="154" t="s">
        <v>247</v>
      </c>
      <c r="K328" s="90"/>
      <c r="L328" s="90"/>
      <c r="M328" s="154" t="s">
        <v>217</v>
      </c>
      <c r="N328" s="154" t="s">
        <v>121</v>
      </c>
      <c r="O328" s="154" t="s">
        <v>81</v>
      </c>
      <c r="P328" s="154" t="s">
        <v>82</v>
      </c>
      <c r="Q328" s="154" t="s">
        <v>122</v>
      </c>
      <c r="R328" s="154" t="s">
        <v>83</v>
      </c>
      <c r="S328" s="154" t="s">
        <v>123</v>
      </c>
      <c r="T328" s="154" t="s">
        <v>126</v>
      </c>
      <c r="U328" s="154" t="s">
        <v>143</v>
      </c>
      <c r="V328" s="90"/>
      <c r="W328" s="154" t="s">
        <v>248</v>
      </c>
      <c r="X328" s="154" t="s">
        <v>249</v>
      </c>
      <c r="Y328" s="154" t="s">
        <v>250</v>
      </c>
      <c r="Z328" s="154" t="s">
        <v>84</v>
      </c>
      <c r="AA328" s="154" t="s">
        <v>85</v>
      </c>
      <c r="AB328" s="154" t="s">
        <v>89</v>
      </c>
      <c r="AC328" s="90"/>
      <c r="AD328" s="154" t="s">
        <v>124</v>
      </c>
      <c r="AE328" s="154" t="s">
        <v>86</v>
      </c>
      <c r="AF328" s="154" t="s">
        <v>125</v>
      </c>
    </row>
    <row r="329" spans="1:32" ht="397.5" thickBot="1">
      <c r="A329" s="162"/>
      <c r="B329" s="163"/>
      <c r="C329" s="155"/>
      <c r="D329" s="155"/>
      <c r="E329" s="155"/>
      <c r="F329" s="155"/>
      <c r="G329" s="155"/>
      <c r="H329" s="155"/>
      <c r="I329" s="155"/>
      <c r="J329" s="155"/>
      <c r="K329" s="91" t="s">
        <v>119</v>
      </c>
      <c r="L329" s="91" t="s">
        <v>120</v>
      </c>
      <c r="M329" s="155"/>
      <c r="N329" s="155"/>
      <c r="O329" s="155"/>
      <c r="P329" s="155"/>
      <c r="Q329" s="155"/>
      <c r="R329" s="155"/>
      <c r="S329" s="155"/>
      <c r="T329" s="155"/>
      <c r="U329" s="155"/>
      <c r="V329" s="91" t="s">
        <v>111</v>
      </c>
      <c r="W329" s="155"/>
      <c r="X329" s="155"/>
      <c r="Y329" s="155"/>
      <c r="Z329" s="155"/>
      <c r="AA329" s="155"/>
      <c r="AB329" s="155"/>
      <c r="AC329" s="91" t="s">
        <v>110</v>
      </c>
      <c r="AD329" s="155"/>
      <c r="AE329" s="155"/>
      <c r="AF329" s="155"/>
    </row>
    <row r="330" spans="1:32" ht="47.25" thickBot="1">
      <c r="A330" s="156">
        <v>1</v>
      </c>
      <c r="B330" s="157"/>
      <c r="C330" s="68">
        <v>2</v>
      </c>
      <c r="D330" s="69" t="s">
        <v>112</v>
      </c>
      <c r="E330" s="70">
        <v>4</v>
      </c>
      <c r="F330" s="69">
        <v>5</v>
      </c>
      <c r="G330" s="69">
        <v>6</v>
      </c>
      <c r="H330" s="69">
        <v>7</v>
      </c>
      <c r="I330" s="69">
        <v>8</v>
      </c>
      <c r="J330" s="69" t="s">
        <v>113</v>
      </c>
      <c r="K330" s="70">
        <v>10</v>
      </c>
      <c r="L330" s="69">
        <v>11</v>
      </c>
      <c r="M330" s="69">
        <v>12</v>
      </c>
      <c r="N330" s="69">
        <v>13</v>
      </c>
      <c r="O330" s="69">
        <v>14</v>
      </c>
      <c r="P330" s="69">
        <v>15</v>
      </c>
      <c r="Q330" s="94">
        <v>16</v>
      </c>
      <c r="R330" s="69">
        <v>17</v>
      </c>
      <c r="S330" s="94">
        <v>18</v>
      </c>
      <c r="T330" s="69">
        <v>19</v>
      </c>
      <c r="U330" s="94">
        <v>20</v>
      </c>
      <c r="V330" s="94">
        <v>21</v>
      </c>
      <c r="W330" s="69">
        <v>22</v>
      </c>
      <c r="X330" s="69">
        <v>23</v>
      </c>
      <c r="Y330" s="94">
        <v>24</v>
      </c>
      <c r="Z330" s="69">
        <v>25</v>
      </c>
      <c r="AA330" s="69">
        <v>26</v>
      </c>
      <c r="AB330" s="69">
        <v>27</v>
      </c>
      <c r="AC330" s="94">
        <v>28</v>
      </c>
      <c r="AD330" s="69">
        <v>29</v>
      </c>
      <c r="AE330" s="69">
        <v>30</v>
      </c>
      <c r="AF330" s="92">
        <v>31</v>
      </c>
    </row>
    <row r="331" spans="1:32" ht="77.25" customHeight="1" thickBot="1">
      <c r="A331" s="158" t="s">
        <v>48</v>
      </c>
      <c r="B331" s="159"/>
      <c r="C331" s="46">
        <f aca="true" t="shared" si="65" ref="C331:AF331">SUM(C37+C68+C100+C132+C166+C199+C232+C265+C295+C327)</f>
        <v>917</v>
      </c>
      <c r="D331" s="46">
        <f t="shared" si="65"/>
        <v>450</v>
      </c>
      <c r="E331" s="46">
        <f t="shared" si="65"/>
        <v>290.20000000000005</v>
      </c>
      <c r="F331" s="46">
        <f t="shared" si="65"/>
        <v>30</v>
      </c>
      <c r="G331" s="46">
        <f t="shared" si="65"/>
        <v>387.4</v>
      </c>
      <c r="H331" s="46">
        <f t="shared" si="65"/>
        <v>114</v>
      </c>
      <c r="I331" s="46">
        <f t="shared" si="65"/>
        <v>1398</v>
      </c>
      <c r="J331" s="46">
        <f t="shared" si="65"/>
        <v>2407.8999999999996</v>
      </c>
      <c r="K331" s="46">
        <f t="shared" si="65"/>
        <v>900</v>
      </c>
      <c r="L331" s="46">
        <f t="shared" si="65"/>
        <v>450</v>
      </c>
      <c r="M331" s="46">
        <f t="shared" si="65"/>
        <v>1145</v>
      </c>
      <c r="N331" s="46">
        <f t="shared" si="65"/>
        <v>100.2</v>
      </c>
      <c r="O331" s="46">
        <f t="shared" si="65"/>
        <v>182.3</v>
      </c>
      <c r="P331" s="46">
        <f t="shared" si="65"/>
        <v>460.85</v>
      </c>
      <c r="Q331" s="46">
        <f t="shared" si="65"/>
        <v>260.55</v>
      </c>
      <c r="R331" s="46">
        <f t="shared" si="65"/>
        <v>103.9</v>
      </c>
      <c r="S331" s="46">
        <f t="shared" si="65"/>
        <v>238.1</v>
      </c>
      <c r="T331" s="46">
        <f t="shared" si="65"/>
        <v>4157</v>
      </c>
      <c r="U331" s="46">
        <f t="shared" si="65"/>
        <v>386</v>
      </c>
      <c r="V331" s="46">
        <f t="shared" si="65"/>
        <v>65</v>
      </c>
      <c r="W331" s="46">
        <f t="shared" si="65"/>
        <v>546</v>
      </c>
      <c r="X331" s="46">
        <f t="shared" si="65"/>
        <v>229</v>
      </c>
      <c r="Y331" s="46">
        <f t="shared" si="65"/>
        <v>332</v>
      </c>
      <c r="Z331" s="46">
        <f t="shared" si="65"/>
        <v>106</v>
      </c>
      <c r="AA331" s="46">
        <f t="shared" si="65"/>
        <v>59.6</v>
      </c>
      <c r="AB331" s="46">
        <f t="shared" si="65"/>
        <v>5.999999999999999</v>
      </c>
      <c r="AC331" s="46">
        <f t="shared" si="65"/>
        <v>12</v>
      </c>
      <c r="AD331" s="46">
        <f t="shared" si="65"/>
        <v>6</v>
      </c>
      <c r="AE331" s="46">
        <f t="shared" si="65"/>
        <v>60</v>
      </c>
      <c r="AF331" s="46">
        <f t="shared" si="65"/>
        <v>4.7</v>
      </c>
    </row>
    <row r="332" spans="1:32" ht="83.25" customHeight="1" thickBot="1">
      <c r="A332" s="158" t="s">
        <v>96</v>
      </c>
      <c r="B332" s="159"/>
      <c r="C332" s="46">
        <f>C331/10</f>
        <v>91.7</v>
      </c>
      <c r="D332" s="46">
        <f aca="true" t="shared" si="66" ref="D332:Q332">D331/10</f>
        <v>45</v>
      </c>
      <c r="E332" s="46">
        <f t="shared" si="66"/>
        <v>29.020000000000003</v>
      </c>
      <c r="F332" s="46">
        <f t="shared" si="66"/>
        <v>3</v>
      </c>
      <c r="G332" s="46">
        <f t="shared" si="66"/>
        <v>38.739999999999995</v>
      </c>
      <c r="H332" s="46">
        <f t="shared" si="66"/>
        <v>11.4</v>
      </c>
      <c r="I332" s="46">
        <f t="shared" si="66"/>
        <v>139.8</v>
      </c>
      <c r="J332" s="46">
        <f t="shared" si="66"/>
        <v>240.78999999999996</v>
      </c>
      <c r="K332" s="46">
        <f t="shared" si="66"/>
        <v>90</v>
      </c>
      <c r="L332" s="46">
        <f t="shared" si="66"/>
        <v>45</v>
      </c>
      <c r="M332" s="46">
        <f t="shared" si="66"/>
        <v>114.5</v>
      </c>
      <c r="N332" s="46">
        <f t="shared" si="66"/>
        <v>10.02</v>
      </c>
      <c r="O332" s="46">
        <f t="shared" si="66"/>
        <v>18.23</v>
      </c>
      <c r="P332" s="46">
        <f t="shared" si="66"/>
        <v>46.085</v>
      </c>
      <c r="Q332" s="46">
        <f t="shared" si="66"/>
        <v>26.055</v>
      </c>
      <c r="R332" s="46">
        <f aca="true" t="shared" si="67" ref="R332:AE332">R331/10</f>
        <v>10.39</v>
      </c>
      <c r="S332" s="46">
        <f t="shared" si="67"/>
        <v>23.81</v>
      </c>
      <c r="T332" s="46">
        <f t="shared" si="67"/>
        <v>415.7</v>
      </c>
      <c r="U332" s="46">
        <f t="shared" si="67"/>
        <v>38.6</v>
      </c>
      <c r="V332" s="46">
        <f t="shared" si="67"/>
        <v>6.5</v>
      </c>
      <c r="W332" s="46">
        <f t="shared" si="67"/>
        <v>54.6</v>
      </c>
      <c r="X332" s="46">
        <f t="shared" si="67"/>
        <v>22.9</v>
      </c>
      <c r="Y332" s="46">
        <f t="shared" si="67"/>
        <v>33.2</v>
      </c>
      <c r="Z332" s="46">
        <f t="shared" si="67"/>
        <v>10.6</v>
      </c>
      <c r="AA332" s="46">
        <f t="shared" si="67"/>
        <v>5.96</v>
      </c>
      <c r="AB332" s="46">
        <f t="shared" si="67"/>
        <v>0.5999999999999999</v>
      </c>
      <c r="AC332" s="46">
        <f t="shared" si="67"/>
        <v>1.2</v>
      </c>
      <c r="AD332" s="46">
        <f t="shared" si="67"/>
        <v>0.6</v>
      </c>
      <c r="AE332" s="46">
        <f t="shared" si="67"/>
        <v>6</v>
      </c>
      <c r="AF332" s="46">
        <f>AF331/10</f>
        <v>0.47000000000000003</v>
      </c>
    </row>
    <row r="333" spans="1:32" ht="167.25" customHeight="1" thickBot="1">
      <c r="A333" s="158" t="s">
        <v>95</v>
      </c>
      <c r="B333" s="159"/>
      <c r="C333" s="46">
        <v>95</v>
      </c>
      <c r="D333" s="57">
        <v>47.5</v>
      </c>
      <c r="E333" s="57">
        <v>27.55</v>
      </c>
      <c r="F333" s="57">
        <v>2.85</v>
      </c>
      <c r="G333" s="57">
        <v>40.85</v>
      </c>
      <c r="H333" s="51">
        <v>11.4</v>
      </c>
      <c r="I333" s="51">
        <v>133</v>
      </c>
      <c r="J333" s="51">
        <v>247</v>
      </c>
      <c r="K333" s="51">
        <v>95</v>
      </c>
      <c r="L333" s="51">
        <v>47.5</v>
      </c>
      <c r="M333" s="51">
        <v>108.3</v>
      </c>
      <c r="N333" s="51">
        <v>10.45</v>
      </c>
      <c r="O333" s="51">
        <v>19</v>
      </c>
      <c r="P333" s="51">
        <v>44.65</v>
      </c>
      <c r="Q333" s="51">
        <v>24.7</v>
      </c>
      <c r="R333" s="51">
        <v>10.45</v>
      </c>
      <c r="S333" s="51">
        <v>22.8</v>
      </c>
      <c r="T333" s="51">
        <v>427.5</v>
      </c>
      <c r="U333" s="51">
        <v>38</v>
      </c>
      <c r="V333" s="51">
        <v>6.65</v>
      </c>
      <c r="W333" s="51">
        <v>52.25</v>
      </c>
      <c r="X333" s="51">
        <v>22.8</v>
      </c>
      <c r="Y333" s="51">
        <v>35</v>
      </c>
      <c r="Z333" s="51">
        <v>10.45</v>
      </c>
      <c r="AA333" s="51">
        <v>6</v>
      </c>
      <c r="AB333" s="51">
        <v>0.57</v>
      </c>
      <c r="AC333" s="51">
        <v>1.14</v>
      </c>
      <c r="AD333" s="51">
        <v>0.57</v>
      </c>
      <c r="AE333" s="51">
        <v>5.7</v>
      </c>
      <c r="AF333" s="57">
        <v>0.48</v>
      </c>
    </row>
    <row r="334" spans="1:32" ht="116.25" customHeight="1" thickBot="1">
      <c r="A334" s="158" t="s">
        <v>162</v>
      </c>
      <c r="B334" s="159"/>
      <c r="C334" s="86">
        <f>C332*100/C333</f>
        <v>96.52631578947368</v>
      </c>
      <c r="D334" s="86">
        <f>D332*100/D333</f>
        <v>94.73684210526316</v>
      </c>
      <c r="E334" s="86">
        <f>E332*100/E333</f>
        <v>105.33575317604357</v>
      </c>
      <c r="F334" s="86">
        <f>F332*100/F333</f>
        <v>105.26315789473684</v>
      </c>
      <c r="G334" s="86">
        <f aca="true" t="shared" si="68" ref="G334:AF334">G332*100/G333</f>
        <v>94.83476132190941</v>
      </c>
      <c r="H334" s="86">
        <f t="shared" si="68"/>
        <v>100</v>
      </c>
      <c r="I334" s="86">
        <f t="shared" si="68"/>
        <v>105.11278195488723</v>
      </c>
      <c r="J334" s="86">
        <f t="shared" si="68"/>
        <v>97.48582995951415</v>
      </c>
      <c r="K334" s="86">
        <f t="shared" si="68"/>
        <v>94.73684210526316</v>
      </c>
      <c r="L334" s="86">
        <f t="shared" si="68"/>
        <v>94.73684210526316</v>
      </c>
      <c r="M334" s="86">
        <f t="shared" si="68"/>
        <v>105.72483841181902</v>
      </c>
      <c r="N334" s="86">
        <f t="shared" si="68"/>
        <v>95.88516746411484</v>
      </c>
      <c r="O334" s="86">
        <f t="shared" si="68"/>
        <v>95.94736842105263</v>
      </c>
      <c r="P334" s="86">
        <f t="shared" si="68"/>
        <v>103.21388577827548</v>
      </c>
      <c r="Q334" s="86">
        <f t="shared" si="68"/>
        <v>105.48582995951418</v>
      </c>
      <c r="R334" s="86">
        <f t="shared" si="68"/>
        <v>99.42583732057417</v>
      </c>
      <c r="S334" s="86">
        <f t="shared" si="68"/>
        <v>104.4298245614035</v>
      </c>
      <c r="T334" s="86">
        <f t="shared" si="68"/>
        <v>97.23976608187135</v>
      </c>
      <c r="U334" s="86">
        <f t="shared" si="68"/>
        <v>101.57894736842105</v>
      </c>
      <c r="V334" s="86">
        <f t="shared" si="68"/>
        <v>97.74436090225564</v>
      </c>
      <c r="W334" s="86">
        <f t="shared" si="68"/>
        <v>104.49760765550239</v>
      </c>
      <c r="X334" s="86">
        <f t="shared" si="68"/>
        <v>100.43859649122807</v>
      </c>
      <c r="Y334" s="86">
        <f t="shared" si="68"/>
        <v>94.85714285714288</v>
      </c>
      <c r="Z334" s="86">
        <f t="shared" si="68"/>
        <v>101.4354066985646</v>
      </c>
      <c r="AA334" s="86">
        <f t="shared" si="68"/>
        <v>99.33333333333333</v>
      </c>
      <c r="AB334" s="86">
        <f t="shared" si="68"/>
        <v>105.26315789473682</v>
      </c>
      <c r="AC334" s="86">
        <f t="shared" si="68"/>
        <v>105.26315789473685</v>
      </c>
      <c r="AD334" s="86">
        <f t="shared" si="68"/>
        <v>105.26315789473685</v>
      </c>
      <c r="AE334" s="86">
        <f t="shared" si="68"/>
        <v>105.26315789473684</v>
      </c>
      <c r="AF334" s="86">
        <f t="shared" si="68"/>
        <v>97.91666666666667</v>
      </c>
    </row>
    <row r="335" spans="1:32" ht="196.5" customHeight="1" thickBot="1">
      <c r="A335" s="158" t="s">
        <v>245</v>
      </c>
      <c r="B335" s="159"/>
      <c r="C335" s="80">
        <f>C334-100</f>
        <v>-3.473684210526315</v>
      </c>
      <c r="D335" s="80">
        <f aca="true" t="shared" si="69" ref="D335:AF335">D334-100</f>
        <v>-5.263157894736835</v>
      </c>
      <c r="E335" s="80">
        <f t="shared" si="69"/>
        <v>5.335753176043568</v>
      </c>
      <c r="F335" s="80">
        <f t="shared" si="69"/>
        <v>5.263157894736835</v>
      </c>
      <c r="G335" s="80">
        <f t="shared" si="69"/>
        <v>-5.165238678090589</v>
      </c>
      <c r="H335" s="80">
        <f t="shared" si="69"/>
        <v>0</v>
      </c>
      <c r="I335" s="80">
        <f t="shared" si="69"/>
        <v>5.112781954887225</v>
      </c>
      <c r="J335" s="80">
        <f t="shared" si="69"/>
        <v>-2.514170040485851</v>
      </c>
      <c r="K335" s="80">
        <f t="shared" si="69"/>
        <v>-5.263157894736835</v>
      </c>
      <c r="L335" s="80">
        <f t="shared" si="69"/>
        <v>-5.263157894736835</v>
      </c>
      <c r="M335" s="80">
        <f t="shared" si="69"/>
        <v>5.724838411819022</v>
      </c>
      <c r="N335" s="80">
        <f t="shared" si="69"/>
        <v>-4.1148325358851565</v>
      </c>
      <c r="O335" s="80">
        <f t="shared" si="69"/>
        <v>-4.05263157894737</v>
      </c>
      <c r="P335" s="80">
        <f t="shared" si="69"/>
        <v>3.2138857782754826</v>
      </c>
      <c r="Q335" s="80">
        <f t="shared" si="69"/>
        <v>5.485829959514177</v>
      </c>
      <c r="R335" s="80">
        <f t="shared" si="69"/>
        <v>-0.5741626794258252</v>
      </c>
      <c r="S335" s="80">
        <f t="shared" si="69"/>
        <v>4.429824561403507</v>
      </c>
      <c r="T335" s="80">
        <f t="shared" si="69"/>
        <v>-2.760233918128648</v>
      </c>
      <c r="U335" s="80">
        <f t="shared" si="69"/>
        <v>1.5789473684210549</v>
      </c>
      <c r="V335" s="80">
        <f t="shared" si="69"/>
        <v>-2.255639097744364</v>
      </c>
      <c r="W335" s="80">
        <f t="shared" si="69"/>
        <v>4.497607655502392</v>
      </c>
      <c r="X335" s="80">
        <f t="shared" si="69"/>
        <v>0.43859649122806843</v>
      </c>
      <c r="Y335" s="80">
        <f t="shared" si="69"/>
        <v>-5.142857142857125</v>
      </c>
      <c r="Z335" s="80">
        <f t="shared" si="69"/>
        <v>1.4354066985646057</v>
      </c>
      <c r="AA335" s="80">
        <f t="shared" si="69"/>
        <v>-0.6666666666666714</v>
      </c>
      <c r="AB335" s="80">
        <f t="shared" si="69"/>
        <v>5.263157894736821</v>
      </c>
      <c r="AC335" s="80">
        <f t="shared" si="69"/>
        <v>5.26315789473685</v>
      </c>
      <c r="AD335" s="80">
        <f t="shared" si="69"/>
        <v>5.26315789473685</v>
      </c>
      <c r="AE335" s="80">
        <f t="shared" si="69"/>
        <v>5.263157894736835</v>
      </c>
      <c r="AF335" s="80">
        <f t="shared" si="69"/>
        <v>-2.0833333333333286</v>
      </c>
    </row>
    <row r="336" spans="1:32" ht="46.5">
      <c r="A336" s="81"/>
      <c r="AF336" s="72"/>
    </row>
    <row r="337" spans="1:32" ht="46.5">
      <c r="A337" s="81"/>
      <c r="B337" s="83" t="s">
        <v>220</v>
      </c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AF337" s="72"/>
    </row>
    <row r="338" spans="1:23" ht="46.5">
      <c r="A338" s="81"/>
      <c r="B338" s="83" t="s">
        <v>176</v>
      </c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</row>
    <row r="339" ht="46.5">
      <c r="A339" s="81"/>
    </row>
    <row r="383" spans="1:35" ht="46.5">
      <c r="A383" s="81"/>
      <c r="AI383" s="98"/>
    </row>
    <row r="387" spans="1:36" s="96" customFormat="1" ht="46.5">
      <c r="A387" s="82"/>
      <c r="B387" s="81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1"/>
      <c r="AH387" s="81"/>
      <c r="AI387" s="81"/>
      <c r="AJ387" s="81"/>
    </row>
    <row r="409" spans="1:33" ht="47.25" thickBot="1">
      <c r="A409" s="81"/>
      <c r="AG409" s="75"/>
    </row>
    <row r="423" spans="1:33" ht="46.5">
      <c r="A423" s="81"/>
      <c r="AG423" s="96"/>
    </row>
    <row r="424" spans="1:36" ht="46.5">
      <c r="A424" s="81"/>
      <c r="AH424" s="96"/>
      <c r="AI424" s="96"/>
      <c r="AJ424" s="96"/>
    </row>
    <row r="451" spans="1:36" s="96" customFormat="1" ht="46.5">
      <c r="A451" s="82"/>
      <c r="B451" s="81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1"/>
      <c r="AH451" s="81"/>
      <c r="AI451" s="81"/>
      <c r="AJ451" s="81"/>
    </row>
  </sheetData>
  <sheetProtection/>
  <mergeCells count="374">
    <mergeCell ref="N235:N236"/>
    <mergeCell ref="A238:AF238"/>
    <mergeCell ref="O268:O269"/>
    <mergeCell ref="A330:B330"/>
    <mergeCell ref="C268:C269"/>
    <mergeCell ref="A268:A269"/>
    <mergeCell ref="M235:M236"/>
    <mergeCell ref="A334:B334"/>
    <mergeCell ref="E298:E299"/>
    <mergeCell ref="B235:B236"/>
    <mergeCell ref="C235:C236"/>
    <mergeCell ref="W103:W104"/>
    <mergeCell ref="W135:W136"/>
    <mergeCell ref="A1:AF2"/>
    <mergeCell ref="X71:X72"/>
    <mergeCell ref="X5:X6"/>
    <mergeCell ref="Y135:Y136"/>
    <mergeCell ref="M135:M136"/>
    <mergeCell ref="A177:AF177"/>
    <mergeCell ref="F135:F136"/>
    <mergeCell ref="N135:N136"/>
    <mergeCell ref="H135:H136"/>
    <mergeCell ref="A144:AF144"/>
    <mergeCell ref="I103:I104"/>
    <mergeCell ref="AE135:AE136"/>
    <mergeCell ref="AB135:AB136"/>
    <mergeCell ref="H103:H104"/>
    <mergeCell ref="B135:B136"/>
    <mergeCell ref="G135:G136"/>
    <mergeCell ref="A103:A104"/>
    <mergeCell ref="B103:B104"/>
    <mergeCell ref="A111:AF111"/>
    <mergeCell ref="A61:AF61"/>
    <mergeCell ref="A69:AF69"/>
    <mergeCell ref="C71:C72"/>
    <mergeCell ref="Z71:Z72"/>
    <mergeCell ref="D71:D72"/>
    <mergeCell ref="H71:H72"/>
    <mergeCell ref="Q71:Q72"/>
    <mergeCell ref="S71:S72"/>
    <mergeCell ref="J71:J72"/>
    <mergeCell ref="M71:M72"/>
    <mergeCell ref="N71:N72"/>
    <mergeCell ref="Z5:Z6"/>
    <mergeCell ref="A19:AF19"/>
    <mergeCell ref="N40:N41"/>
    <mergeCell ref="A38:AF38"/>
    <mergeCell ref="A39:AF39"/>
    <mergeCell ref="U5:U6"/>
    <mergeCell ref="AA5:AA6"/>
    <mergeCell ref="A28:AF28"/>
    <mergeCell ref="AE40:AE41"/>
    <mergeCell ref="T40:T41"/>
    <mergeCell ref="S5:S6"/>
    <mergeCell ref="T5:T6"/>
    <mergeCell ref="P5:P6"/>
    <mergeCell ref="Q5:Q6"/>
    <mergeCell ref="R5:R6"/>
    <mergeCell ref="A15:AF15"/>
    <mergeCell ref="AB5:AB6"/>
    <mergeCell ref="I5:I6"/>
    <mergeCell ref="J5:J6"/>
    <mergeCell ref="G5:G6"/>
    <mergeCell ref="M5:M6"/>
    <mergeCell ref="N5:N6"/>
    <mergeCell ref="O5:O6"/>
    <mergeCell ref="A8:AF8"/>
    <mergeCell ref="AF5:AF6"/>
    <mergeCell ref="A3:AF3"/>
    <mergeCell ref="A4:AF4"/>
    <mergeCell ref="A5:A6"/>
    <mergeCell ref="B5:B6"/>
    <mergeCell ref="C5:C6"/>
    <mergeCell ref="Y5:Y6"/>
    <mergeCell ref="W5:W6"/>
    <mergeCell ref="AE5:AE6"/>
    <mergeCell ref="AD5:AD6"/>
    <mergeCell ref="H5:H6"/>
    <mergeCell ref="F40:F41"/>
    <mergeCell ref="D40:D41"/>
    <mergeCell ref="E40:E41"/>
    <mergeCell ref="A48:AF48"/>
    <mergeCell ref="A40:A41"/>
    <mergeCell ref="B40:B41"/>
    <mergeCell ref="C40:C41"/>
    <mergeCell ref="A79:AF79"/>
    <mergeCell ref="AF71:AF72"/>
    <mergeCell ref="AA71:AA72"/>
    <mergeCell ref="W40:W41"/>
    <mergeCell ref="P71:P72"/>
    <mergeCell ref="M40:M41"/>
    <mergeCell ref="P40:P41"/>
    <mergeCell ref="Q40:Q41"/>
    <mergeCell ref="R40:R41"/>
    <mergeCell ref="U40:U41"/>
    <mergeCell ref="A138:AF138"/>
    <mergeCell ref="AF103:AF104"/>
    <mergeCell ref="I135:I136"/>
    <mergeCell ref="AD135:AD136"/>
    <mergeCell ref="AA135:AA136"/>
    <mergeCell ref="C135:C136"/>
    <mergeCell ref="A133:AF133"/>
    <mergeCell ref="E135:E136"/>
    <mergeCell ref="J103:J104"/>
    <mergeCell ref="Z135:Z136"/>
    <mergeCell ref="O135:O136"/>
    <mergeCell ref="J40:J41"/>
    <mergeCell ref="AE103:AE104"/>
    <mergeCell ref="X40:X41"/>
    <mergeCell ref="P135:P136"/>
    <mergeCell ref="S135:S136"/>
    <mergeCell ref="T135:T136"/>
    <mergeCell ref="U135:U136"/>
    <mergeCell ref="J135:J136"/>
    <mergeCell ref="A115:AF115"/>
    <mergeCell ref="T103:T104"/>
    <mergeCell ref="AD40:AD41"/>
    <mergeCell ref="A134:AF134"/>
    <mergeCell ref="R71:R72"/>
    <mergeCell ref="O103:O104"/>
    <mergeCell ref="F71:F72"/>
    <mergeCell ref="AF40:AF41"/>
    <mergeCell ref="A70:AF70"/>
    <mergeCell ref="G71:G72"/>
    <mergeCell ref="AB40:AB41"/>
    <mergeCell ref="A102:AF102"/>
    <mergeCell ref="G103:G104"/>
    <mergeCell ref="Q103:Q104"/>
    <mergeCell ref="M103:M104"/>
    <mergeCell ref="Y103:Y104"/>
    <mergeCell ref="AB103:AB104"/>
    <mergeCell ref="U103:U104"/>
    <mergeCell ref="R103:R104"/>
    <mergeCell ref="P103:P104"/>
    <mergeCell ref="AD103:AD104"/>
    <mergeCell ref="A83:AF83"/>
    <mergeCell ref="S103:S104"/>
    <mergeCell ref="H40:H41"/>
    <mergeCell ref="I40:I41"/>
    <mergeCell ref="O40:O41"/>
    <mergeCell ref="U71:U72"/>
    <mergeCell ref="A43:AF43"/>
    <mergeCell ref="A52:AF52"/>
    <mergeCell ref="T71:T72"/>
    <mergeCell ref="A71:A72"/>
    <mergeCell ref="AE169:AE170"/>
    <mergeCell ref="A106:AF106"/>
    <mergeCell ref="Z103:Z104"/>
    <mergeCell ref="A101:AF101"/>
    <mergeCell ref="D103:D104"/>
    <mergeCell ref="E103:E104"/>
    <mergeCell ref="C103:C104"/>
    <mergeCell ref="X103:X104"/>
    <mergeCell ref="N103:N104"/>
    <mergeCell ref="Q135:Q136"/>
    <mergeCell ref="Z169:Z170"/>
    <mergeCell ref="I169:I170"/>
    <mergeCell ref="AA169:AA170"/>
    <mergeCell ref="O169:O170"/>
    <mergeCell ref="Y169:Y170"/>
    <mergeCell ref="R169:R170"/>
    <mergeCell ref="A210:AF210"/>
    <mergeCell ref="N202:N203"/>
    <mergeCell ref="Q202:Q203"/>
    <mergeCell ref="M202:M203"/>
    <mergeCell ref="B202:B203"/>
    <mergeCell ref="C202:C203"/>
    <mergeCell ref="G202:G203"/>
    <mergeCell ref="B169:B170"/>
    <mergeCell ref="C169:C170"/>
    <mergeCell ref="G169:G170"/>
    <mergeCell ref="D169:D170"/>
    <mergeCell ref="E169:E170"/>
    <mergeCell ref="F169:F170"/>
    <mergeCell ref="A181:AF181"/>
    <mergeCell ref="Z235:Z236"/>
    <mergeCell ref="X235:X236"/>
    <mergeCell ref="A267:AF267"/>
    <mergeCell ref="E235:E236"/>
    <mergeCell ref="I235:I236"/>
    <mergeCell ref="D235:D236"/>
    <mergeCell ref="A248:AF248"/>
    <mergeCell ref="A256:AE256"/>
    <mergeCell ref="A244:AF244"/>
    <mergeCell ref="A235:A236"/>
    <mergeCell ref="Y235:Y236"/>
    <mergeCell ref="A233:AF233"/>
    <mergeCell ref="H268:H269"/>
    <mergeCell ref="F235:F236"/>
    <mergeCell ref="H235:H236"/>
    <mergeCell ref="A266:AF266"/>
    <mergeCell ref="AB235:AB236"/>
    <mergeCell ref="S235:S236"/>
    <mergeCell ref="T235:T236"/>
    <mergeCell ref="R235:R236"/>
    <mergeCell ref="A331:B331"/>
    <mergeCell ref="A328:B329"/>
    <mergeCell ref="A234:AF234"/>
    <mergeCell ref="A298:A299"/>
    <mergeCell ref="B298:B299"/>
    <mergeCell ref="G268:G269"/>
    <mergeCell ref="J268:J269"/>
    <mergeCell ref="Q235:Q236"/>
    <mergeCell ref="AD235:AD236"/>
    <mergeCell ref="Z268:Z269"/>
    <mergeCell ref="AF235:AF236"/>
    <mergeCell ref="A200:AF200"/>
    <mergeCell ref="O71:O72"/>
    <mergeCell ref="AD71:AD72"/>
    <mergeCell ref="AE71:AE72"/>
    <mergeCell ref="B71:B72"/>
    <mergeCell ref="E71:E72"/>
    <mergeCell ref="J235:J236"/>
    <mergeCell ref="G235:G236"/>
    <mergeCell ref="AE235:AE236"/>
    <mergeCell ref="A92:AF92"/>
    <mergeCell ref="N169:N170"/>
    <mergeCell ref="Y71:Y72"/>
    <mergeCell ref="I71:I72"/>
    <mergeCell ref="A74:AF74"/>
    <mergeCell ref="F103:F104"/>
    <mergeCell ref="AA103:AA104"/>
    <mergeCell ref="D135:D136"/>
    <mergeCell ref="R135:R136"/>
    <mergeCell ref="AF169:AF170"/>
    <mergeCell ref="AB71:AB72"/>
    <mergeCell ref="D5:D6"/>
    <mergeCell ref="E5:E6"/>
    <mergeCell ref="F5:F6"/>
    <mergeCell ref="Y40:Y41"/>
    <mergeCell ref="Z40:Z41"/>
    <mergeCell ref="AA40:AA41"/>
    <mergeCell ref="W71:W72"/>
    <mergeCell ref="G40:G41"/>
    <mergeCell ref="S40:S41"/>
    <mergeCell ref="A124:AF124"/>
    <mergeCell ref="T169:T170"/>
    <mergeCell ref="A158:AF158"/>
    <mergeCell ref="A148:AF148"/>
    <mergeCell ref="A167:AF167"/>
    <mergeCell ref="A135:A136"/>
    <mergeCell ref="X135:X136"/>
    <mergeCell ref="X169:X170"/>
    <mergeCell ref="J169:J170"/>
    <mergeCell ref="H169:H170"/>
    <mergeCell ref="A335:B335"/>
    <mergeCell ref="A332:B332"/>
    <mergeCell ref="A333:B333"/>
    <mergeCell ref="AF135:AF136"/>
    <mergeCell ref="E268:E269"/>
    <mergeCell ref="U169:U170"/>
    <mergeCell ref="AD169:AD170"/>
    <mergeCell ref="A168:AF168"/>
    <mergeCell ref="Q169:Q170"/>
    <mergeCell ref="P169:P170"/>
    <mergeCell ref="A172:AF172"/>
    <mergeCell ref="W169:W170"/>
    <mergeCell ref="Y202:Y203"/>
    <mergeCell ref="A169:A170"/>
    <mergeCell ref="AB169:AB170"/>
    <mergeCell ref="S169:S170"/>
    <mergeCell ref="AE202:AE203"/>
    <mergeCell ref="H202:H203"/>
    <mergeCell ref="A191:AF191"/>
    <mergeCell ref="A202:A203"/>
    <mergeCell ref="M169:M170"/>
    <mergeCell ref="B268:B269"/>
    <mergeCell ref="X268:X269"/>
    <mergeCell ref="R268:R269"/>
    <mergeCell ref="S268:S269"/>
    <mergeCell ref="N268:N269"/>
    <mergeCell ref="D202:D203"/>
    <mergeCell ref="E202:E203"/>
    <mergeCell ref="F202:F203"/>
    <mergeCell ref="I202:I203"/>
    <mergeCell ref="D268:D269"/>
    <mergeCell ref="C298:C299"/>
    <mergeCell ref="H298:H299"/>
    <mergeCell ref="R298:R299"/>
    <mergeCell ref="F298:F299"/>
    <mergeCell ref="A288:AF288"/>
    <mergeCell ref="Q268:Q269"/>
    <mergeCell ref="AA268:AA269"/>
    <mergeCell ref="U268:U269"/>
    <mergeCell ref="AE268:AE269"/>
    <mergeCell ref="O202:O203"/>
    <mergeCell ref="O235:O236"/>
    <mergeCell ref="P235:P236"/>
    <mergeCell ref="A205:AF205"/>
    <mergeCell ref="R202:R203"/>
    <mergeCell ref="AA235:AA236"/>
    <mergeCell ref="T202:T203"/>
    <mergeCell ref="X202:X203"/>
    <mergeCell ref="A215:AF215"/>
    <mergeCell ref="AA202:AA203"/>
    <mergeCell ref="U235:U236"/>
    <mergeCell ref="W235:W236"/>
    <mergeCell ref="A225:AF225"/>
    <mergeCell ref="Y268:Y269"/>
    <mergeCell ref="AF268:AF269"/>
    <mergeCell ref="M268:M269"/>
    <mergeCell ref="AD268:AD269"/>
    <mergeCell ref="AB268:AB269"/>
    <mergeCell ref="F268:F269"/>
    <mergeCell ref="I268:I269"/>
    <mergeCell ref="W268:W269"/>
    <mergeCell ref="T268:T269"/>
    <mergeCell ref="P268:P269"/>
    <mergeCell ref="S328:S329"/>
    <mergeCell ref="T328:T329"/>
    <mergeCell ref="A276:AF276"/>
    <mergeCell ref="O298:O299"/>
    <mergeCell ref="P298:P299"/>
    <mergeCell ref="Q298:Q299"/>
    <mergeCell ref="A297:AF297"/>
    <mergeCell ref="A296:AF296"/>
    <mergeCell ref="F328:F329"/>
    <mergeCell ref="G328:G329"/>
    <mergeCell ref="I328:I329"/>
    <mergeCell ref="J328:J329"/>
    <mergeCell ref="M328:M329"/>
    <mergeCell ref="H328:H329"/>
    <mergeCell ref="U328:U329"/>
    <mergeCell ref="AD328:AD329"/>
    <mergeCell ref="R328:R329"/>
    <mergeCell ref="Q328:Q329"/>
    <mergeCell ref="O328:O329"/>
    <mergeCell ref="P328:P329"/>
    <mergeCell ref="N328:N329"/>
    <mergeCell ref="X298:X299"/>
    <mergeCell ref="X328:X329"/>
    <mergeCell ref="AB328:AB329"/>
    <mergeCell ref="A310:AF310"/>
    <mergeCell ref="I298:I299"/>
    <mergeCell ref="N298:N299"/>
    <mergeCell ref="A301:AF301"/>
    <mergeCell ref="AB298:AB299"/>
    <mergeCell ref="S298:S299"/>
    <mergeCell ref="M298:M299"/>
    <mergeCell ref="G298:G299"/>
    <mergeCell ref="D298:D299"/>
    <mergeCell ref="W298:W299"/>
    <mergeCell ref="J298:J299"/>
    <mergeCell ref="T298:T299"/>
    <mergeCell ref="A306:AF306"/>
    <mergeCell ref="A271:AF271"/>
    <mergeCell ref="AD298:AD299"/>
    <mergeCell ref="AE298:AE299"/>
    <mergeCell ref="AF298:AF299"/>
    <mergeCell ref="Y298:Y299"/>
    <mergeCell ref="Z298:Z299"/>
    <mergeCell ref="AA298:AA299"/>
    <mergeCell ref="A280:AF280"/>
    <mergeCell ref="U298:U299"/>
    <mergeCell ref="Y328:Y329"/>
    <mergeCell ref="Z328:Z329"/>
    <mergeCell ref="A319:AF319"/>
    <mergeCell ref="AA328:AA329"/>
    <mergeCell ref="C328:C329"/>
    <mergeCell ref="D328:D329"/>
    <mergeCell ref="E328:E329"/>
    <mergeCell ref="W328:W329"/>
    <mergeCell ref="AE328:AE329"/>
    <mergeCell ref="AF328:AF329"/>
    <mergeCell ref="A201:AF201"/>
    <mergeCell ref="AF202:AF203"/>
    <mergeCell ref="Z202:Z203"/>
    <mergeCell ref="AB202:AB203"/>
    <mergeCell ref="AD202:AD203"/>
    <mergeCell ref="P202:P203"/>
    <mergeCell ref="U202:U203"/>
    <mergeCell ref="W202:W203"/>
    <mergeCell ref="S202:S203"/>
    <mergeCell ref="J202:J20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" r:id="rId1"/>
  <rowBreaks count="10" manualBreakCount="10">
    <brk id="37" min="1" max="32" man="1"/>
    <brk id="68" min="1" max="32" man="1"/>
    <brk id="100" min="1" max="32" man="1"/>
    <brk id="132" min="1" max="32" man="1"/>
    <brk id="166" min="1" max="32" man="1"/>
    <brk id="199" min="1" max="32" man="1"/>
    <brk id="232" min="1" max="32" man="1"/>
    <brk id="265" min="1" max="32" man="1"/>
    <brk id="295" min="1" max="32" man="1"/>
    <brk id="327" min="1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Q520"/>
  <sheetViews>
    <sheetView view="pageBreakPreview" zoomScale="25" zoomScaleNormal="55" zoomScaleSheetLayoutView="25" workbookViewId="0" topLeftCell="A1">
      <selection activeCell="J22" sqref="J22"/>
    </sheetView>
  </sheetViews>
  <sheetFormatPr defaultColWidth="9.140625" defaultRowHeight="12.75"/>
  <cols>
    <col min="1" max="1" width="18.00390625" style="148" customWidth="1"/>
    <col min="2" max="2" width="84.28125" style="100" customWidth="1"/>
    <col min="3" max="3" width="29.00390625" style="101" customWidth="1"/>
    <col min="4" max="4" width="29.57421875" style="100" customWidth="1"/>
    <col min="5" max="5" width="38.00390625" style="100" customWidth="1"/>
    <col min="6" max="6" width="39.8515625" style="100" customWidth="1"/>
    <col min="7" max="7" width="73.421875" style="100" customWidth="1"/>
    <col min="8" max="8" width="30.00390625" style="100" customWidth="1"/>
    <col min="9" max="9" width="33.421875" style="100" customWidth="1"/>
    <col min="10" max="10" width="32.140625" style="100" customWidth="1"/>
    <col min="11" max="11" width="42.140625" style="100" customWidth="1"/>
    <col min="12" max="12" width="53.140625" style="100" customWidth="1"/>
    <col min="13" max="13" width="13.7109375" style="100" bestFit="1" customWidth="1"/>
    <col min="14" max="14" width="9.140625" style="100" customWidth="1"/>
    <col min="15" max="15" width="38.8515625" style="100" customWidth="1"/>
    <col min="16" max="16384" width="9.140625" style="100" customWidth="1"/>
  </cols>
  <sheetData>
    <row r="1" ht="45.75">
      <c r="A1" s="99"/>
    </row>
    <row r="2" spans="1:12" ht="45.75">
      <c r="A2" s="174" t="s">
        <v>97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45.75">
      <c r="A3" s="151" t="s">
        <v>98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45.75">
      <c r="A4" s="175" t="s">
        <v>99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46.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46.5" thickBot="1">
      <c r="A6" s="177" t="s">
        <v>39</v>
      </c>
      <c r="B6" s="152" t="s">
        <v>100</v>
      </c>
      <c r="C6" s="104" t="s">
        <v>27</v>
      </c>
      <c r="D6" s="179" t="s">
        <v>28</v>
      </c>
      <c r="E6" s="180"/>
      <c r="F6" s="181"/>
      <c r="G6" s="152" t="s">
        <v>101</v>
      </c>
      <c r="H6" s="179" t="s">
        <v>29</v>
      </c>
      <c r="I6" s="180"/>
      <c r="J6" s="181"/>
      <c r="K6" s="179" t="s">
        <v>30</v>
      </c>
      <c r="L6" s="181"/>
    </row>
    <row r="7" spans="1:12" ht="53.25" thickBot="1">
      <c r="A7" s="178"/>
      <c r="B7" s="103"/>
      <c r="C7" s="105"/>
      <c r="D7" s="111" t="s">
        <v>1</v>
      </c>
      <c r="E7" s="112" t="s">
        <v>2</v>
      </c>
      <c r="F7" s="112" t="s">
        <v>3</v>
      </c>
      <c r="G7" s="103"/>
      <c r="H7" s="113" t="s">
        <v>251</v>
      </c>
      <c r="I7" s="114" t="s">
        <v>252</v>
      </c>
      <c r="J7" s="112" t="s">
        <v>6</v>
      </c>
      <c r="K7" s="112" t="s">
        <v>31</v>
      </c>
      <c r="L7" s="112" t="s">
        <v>5</v>
      </c>
    </row>
    <row r="8" spans="1:12" s="120" customFormat="1" ht="46.5" thickBot="1">
      <c r="A8" s="115">
        <v>1</v>
      </c>
      <c r="B8" s="116">
        <v>2</v>
      </c>
      <c r="C8" s="117">
        <v>3</v>
      </c>
      <c r="D8" s="118">
        <v>4</v>
      </c>
      <c r="E8" s="116">
        <v>5</v>
      </c>
      <c r="F8" s="116">
        <v>6</v>
      </c>
      <c r="G8" s="116">
        <v>7</v>
      </c>
      <c r="H8" s="119">
        <v>8</v>
      </c>
      <c r="I8" s="116">
        <v>9</v>
      </c>
      <c r="J8" s="116">
        <v>10</v>
      </c>
      <c r="K8" s="119">
        <v>11</v>
      </c>
      <c r="L8" s="116">
        <v>12</v>
      </c>
    </row>
    <row r="9" spans="1:12" ht="46.5" thickBot="1">
      <c r="A9" s="179" t="s">
        <v>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1:12" ht="46.5" thickBot="1">
      <c r="A10" s="61">
        <v>63</v>
      </c>
      <c r="B10" s="62" t="s">
        <v>198</v>
      </c>
      <c r="C10" s="64" t="s">
        <v>201</v>
      </c>
      <c r="D10" s="58">
        <v>2.55</v>
      </c>
      <c r="E10" s="58">
        <v>2.3</v>
      </c>
      <c r="F10" s="58">
        <v>0.15</v>
      </c>
      <c r="G10" s="58">
        <v>31.5</v>
      </c>
      <c r="H10" s="58">
        <v>0.02</v>
      </c>
      <c r="I10" s="58">
        <v>0.09</v>
      </c>
      <c r="J10" s="58">
        <v>0</v>
      </c>
      <c r="K10" s="58">
        <v>11</v>
      </c>
      <c r="L10" s="58">
        <v>0.5</v>
      </c>
    </row>
    <row r="11" spans="1:12" ht="92.25" thickBot="1">
      <c r="A11" s="61">
        <v>26</v>
      </c>
      <c r="B11" s="62" t="s">
        <v>66</v>
      </c>
      <c r="C11" s="64" t="s">
        <v>215</v>
      </c>
      <c r="D11" s="58">
        <v>7.41</v>
      </c>
      <c r="E11" s="58">
        <v>9.56</v>
      </c>
      <c r="F11" s="58">
        <v>0.78</v>
      </c>
      <c r="G11" s="58">
        <v>130.28</v>
      </c>
      <c r="H11" s="58">
        <v>0.03</v>
      </c>
      <c r="I11" s="58">
        <v>0.06</v>
      </c>
      <c r="J11" s="58">
        <v>0</v>
      </c>
      <c r="K11" s="58">
        <v>16.9</v>
      </c>
      <c r="L11" s="58">
        <v>1.02</v>
      </c>
    </row>
    <row r="12" spans="1:12" ht="46.5" thickBot="1">
      <c r="A12" s="121">
        <v>13</v>
      </c>
      <c r="B12" s="54" t="s">
        <v>9</v>
      </c>
      <c r="C12" s="63" t="s">
        <v>148</v>
      </c>
      <c r="D12" s="58">
        <v>0</v>
      </c>
      <c r="E12" s="58">
        <v>0</v>
      </c>
      <c r="F12" s="58">
        <v>11.98</v>
      </c>
      <c r="G12" s="58">
        <v>43</v>
      </c>
      <c r="H12" s="58">
        <v>0</v>
      </c>
      <c r="I12" s="58">
        <v>0</v>
      </c>
      <c r="J12" s="58">
        <v>0</v>
      </c>
      <c r="K12" s="58">
        <v>0.35</v>
      </c>
      <c r="L12" s="58">
        <v>0.06</v>
      </c>
    </row>
    <row r="13" spans="1:12" ht="92.25" thickBot="1">
      <c r="A13" s="61">
        <v>3</v>
      </c>
      <c r="B13" s="62" t="s">
        <v>58</v>
      </c>
      <c r="C13" s="64" t="s">
        <v>232</v>
      </c>
      <c r="D13" s="58">
        <v>5.06</v>
      </c>
      <c r="E13" s="58">
        <v>7</v>
      </c>
      <c r="F13" s="58">
        <v>14.62</v>
      </c>
      <c r="G13" s="58">
        <v>145</v>
      </c>
      <c r="H13" s="58">
        <v>0.03</v>
      </c>
      <c r="I13" s="58">
        <v>0.03</v>
      </c>
      <c r="J13" s="58">
        <v>0.19</v>
      </c>
      <c r="K13" s="58">
        <v>126.6</v>
      </c>
      <c r="L13" s="58">
        <v>0.47</v>
      </c>
    </row>
    <row r="14" spans="1:12" ht="138" thickBot="1">
      <c r="A14" s="61" t="s">
        <v>45</v>
      </c>
      <c r="B14" s="62" t="s">
        <v>133</v>
      </c>
      <c r="C14" s="63" t="s">
        <v>87</v>
      </c>
      <c r="D14" s="58">
        <v>0.6</v>
      </c>
      <c r="E14" s="58">
        <v>3.95</v>
      </c>
      <c r="F14" s="58">
        <v>8.9</v>
      </c>
      <c r="G14" s="58">
        <v>60.3</v>
      </c>
      <c r="H14" s="58">
        <v>0.01</v>
      </c>
      <c r="I14" s="58">
        <v>0.01</v>
      </c>
      <c r="J14" s="58">
        <v>0</v>
      </c>
      <c r="K14" s="58">
        <v>4</v>
      </c>
      <c r="L14" s="58">
        <v>0.04</v>
      </c>
    </row>
    <row r="15" spans="1:12" ht="46.5" thickBot="1">
      <c r="A15" s="61"/>
      <c r="B15" s="62" t="s">
        <v>8</v>
      </c>
      <c r="C15" s="64"/>
      <c r="D15" s="58">
        <f>SUM(D10:D14)</f>
        <v>15.62</v>
      </c>
      <c r="E15" s="58">
        <f aca="true" t="shared" si="0" ref="E15:L15">SUM(E10:E14)</f>
        <v>22.81</v>
      </c>
      <c r="F15" s="58">
        <f t="shared" si="0"/>
        <v>36.43</v>
      </c>
      <c r="G15" s="58">
        <f t="shared" si="0"/>
        <v>410.08</v>
      </c>
      <c r="H15" s="58">
        <f t="shared" si="0"/>
        <v>0.09</v>
      </c>
      <c r="I15" s="58">
        <f t="shared" si="0"/>
        <v>0.19</v>
      </c>
      <c r="J15" s="58">
        <f t="shared" si="0"/>
        <v>0.19</v>
      </c>
      <c r="K15" s="58">
        <f t="shared" si="0"/>
        <v>158.85</v>
      </c>
      <c r="L15" s="58">
        <f t="shared" si="0"/>
        <v>2.09</v>
      </c>
    </row>
    <row r="16" spans="1:12" ht="46.5" thickBot="1">
      <c r="A16" s="179" t="s">
        <v>107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1"/>
    </row>
    <row r="17" spans="1:12" ht="46.5" thickBot="1">
      <c r="A17" s="61" t="s">
        <v>45</v>
      </c>
      <c r="B17" s="62" t="s">
        <v>108</v>
      </c>
      <c r="C17" s="63" t="s">
        <v>238</v>
      </c>
      <c r="D17" s="58">
        <v>0.18</v>
      </c>
      <c r="E17" s="58">
        <v>0.09</v>
      </c>
      <c r="F17" s="58">
        <v>9.09</v>
      </c>
      <c r="G17" s="58">
        <v>41.4</v>
      </c>
      <c r="H17" s="58">
        <v>0.01</v>
      </c>
      <c r="I17" s="58">
        <v>0.01</v>
      </c>
      <c r="J17" s="58">
        <v>1.8</v>
      </c>
      <c r="K17" s="58">
        <v>6.3</v>
      </c>
      <c r="L17" s="58">
        <v>0.18</v>
      </c>
    </row>
    <row r="18" spans="1:12" ht="54" thickBot="1">
      <c r="A18" s="61" t="s">
        <v>45</v>
      </c>
      <c r="B18" s="62" t="s">
        <v>253</v>
      </c>
      <c r="C18" s="64" t="s">
        <v>219</v>
      </c>
      <c r="D18" s="58">
        <v>0.39</v>
      </c>
      <c r="E18" s="58">
        <v>0.39</v>
      </c>
      <c r="F18" s="58">
        <v>9.48</v>
      </c>
      <c r="G18" s="58">
        <v>45.49</v>
      </c>
      <c r="H18" s="58">
        <v>0.04</v>
      </c>
      <c r="I18" s="58">
        <v>0.02</v>
      </c>
      <c r="J18" s="58">
        <v>9.68</v>
      </c>
      <c r="K18" s="58">
        <v>15.49</v>
      </c>
      <c r="L18" s="58">
        <v>2.14</v>
      </c>
    </row>
    <row r="19" spans="1:12" ht="46.5" thickBot="1">
      <c r="A19" s="61"/>
      <c r="B19" s="62" t="s">
        <v>8</v>
      </c>
      <c r="C19" s="64"/>
      <c r="D19" s="58">
        <f aca="true" t="shared" si="1" ref="D19:L19">SUM(D17:D18)</f>
        <v>0.5700000000000001</v>
      </c>
      <c r="E19" s="58">
        <f t="shared" si="1"/>
        <v>0.48</v>
      </c>
      <c r="F19" s="58">
        <f t="shared" si="1"/>
        <v>18.57</v>
      </c>
      <c r="G19" s="58">
        <f t="shared" si="1"/>
        <v>86.89</v>
      </c>
      <c r="H19" s="58">
        <f t="shared" si="1"/>
        <v>0.05</v>
      </c>
      <c r="I19" s="58">
        <f t="shared" si="1"/>
        <v>0.03</v>
      </c>
      <c r="J19" s="58">
        <f t="shared" si="1"/>
        <v>11.48</v>
      </c>
      <c r="K19" s="58">
        <f t="shared" si="1"/>
        <v>21.79</v>
      </c>
      <c r="L19" s="58">
        <f t="shared" si="1"/>
        <v>2.3200000000000003</v>
      </c>
    </row>
    <row r="20" spans="1:12" ht="46.5" thickBot="1">
      <c r="A20" s="179" t="s">
        <v>10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1"/>
    </row>
    <row r="21" spans="1:12" ht="92.25" thickBot="1">
      <c r="A21" s="121">
        <v>82</v>
      </c>
      <c r="B21" s="62" t="s">
        <v>192</v>
      </c>
      <c r="C21" s="55">
        <v>60</v>
      </c>
      <c r="D21" s="58">
        <v>0.69</v>
      </c>
      <c r="E21" s="58">
        <v>5.05</v>
      </c>
      <c r="F21" s="58">
        <v>3.16</v>
      </c>
      <c r="G21" s="58">
        <v>56</v>
      </c>
      <c r="H21" s="122">
        <v>0.02</v>
      </c>
      <c r="I21" s="123">
        <v>0.03</v>
      </c>
      <c r="J21" s="58">
        <v>2.12</v>
      </c>
      <c r="K21" s="58">
        <v>25.87</v>
      </c>
      <c r="L21" s="58">
        <v>0.31</v>
      </c>
    </row>
    <row r="22" spans="1:12" ht="92.25" thickBot="1">
      <c r="A22" s="61">
        <v>57</v>
      </c>
      <c r="B22" s="62" t="s">
        <v>159</v>
      </c>
      <c r="C22" s="63" t="s">
        <v>218</v>
      </c>
      <c r="D22" s="58">
        <v>5.16</v>
      </c>
      <c r="E22" s="58">
        <v>7.05</v>
      </c>
      <c r="F22" s="58">
        <v>18.95</v>
      </c>
      <c r="G22" s="58">
        <v>196.8</v>
      </c>
      <c r="H22" s="58">
        <v>0.15</v>
      </c>
      <c r="I22" s="58">
        <v>0.2</v>
      </c>
      <c r="J22" s="58">
        <v>5.31</v>
      </c>
      <c r="K22" s="58">
        <v>29.48</v>
      </c>
      <c r="L22" s="58">
        <v>1.36</v>
      </c>
    </row>
    <row r="23" spans="1:12" ht="46.5" thickBot="1">
      <c r="A23" s="61">
        <v>48</v>
      </c>
      <c r="B23" s="62" t="s">
        <v>196</v>
      </c>
      <c r="C23" s="64" t="s">
        <v>146</v>
      </c>
      <c r="D23" s="58">
        <v>7.42</v>
      </c>
      <c r="E23" s="58">
        <v>9.53</v>
      </c>
      <c r="F23" s="58">
        <v>2.58</v>
      </c>
      <c r="G23" s="58">
        <v>106</v>
      </c>
      <c r="H23" s="58">
        <v>0.04</v>
      </c>
      <c r="I23" s="58">
        <v>0.03</v>
      </c>
      <c r="J23" s="58">
        <v>1.5</v>
      </c>
      <c r="K23" s="58">
        <v>10.41</v>
      </c>
      <c r="L23" s="58">
        <v>0.83</v>
      </c>
    </row>
    <row r="24" spans="1:12" ht="92.25" thickBot="1">
      <c r="A24" s="61" t="s">
        <v>225</v>
      </c>
      <c r="B24" s="62" t="s">
        <v>226</v>
      </c>
      <c r="C24" s="64" t="s">
        <v>34</v>
      </c>
      <c r="D24" s="58">
        <v>6.3</v>
      </c>
      <c r="E24" s="58">
        <v>3.5</v>
      </c>
      <c r="F24" s="58">
        <v>18.8</v>
      </c>
      <c r="G24" s="58">
        <v>170</v>
      </c>
      <c r="H24" s="58">
        <v>0.15</v>
      </c>
      <c r="I24" s="58">
        <v>0.2</v>
      </c>
      <c r="J24" s="58">
        <v>0</v>
      </c>
      <c r="K24" s="58">
        <v>64.62</v>
      </c>
      <c r="L24" s="58">
        <v>1</v>
      </c>
    </row>
    <row r="25" spans="1:12" ht="46.5" thickBot="1">
      <c r="A25" s="61">
        <v>9</v>
      </c>
      <c r="B25" s="62" t="s">
        <v>74</v>
      </c>
      <c r="C25" s="55">
        <v>200</v>
      </c>
      <c r="D25" s="58">
        <v>0.48</v>
      </c>
      <c r="E25" s="58">
        <v>0</v>
      </c>
      <c r="F25" s="58">
        <v>23.8</v>
      </c>
      <c r="G25" s="58">
        <v>90</v>
      </c>
      <c r="H25" s="58">
        <v>0</v>
      </c>
      <c r="I25" s="58">
        <v>0</v>
      </c>
      <c r="J25" s="58">
        <v>0.4</v>
      </c>
      <c r="K25" s="58">
        <v>49.14</v>
      </c>
      <c r="L25" s="58">
        <v>0.01</v>
      </c>
    </row>
    <row r="26" spans="1:12" ht="92.25" thickBot="1">
      <c r="A26" s="61" t="s">
        <v>45</v>
      </c>
      <c r="B26" s="62" t="s">
        <v>114</v>
      </c>
      <c r="C26" s="55">
        <v>35</v>
      </c>
      <c r="D26" s="58">
        <v>2.8</v>
      </c>
      <c r="E26" s="58">
        <v>0.35</v>
      </c>
      <c r="F26" s="58">
        <v>19.87</v>
      </c>
      <c r="G26" s="58">
        <v>82.6</v>
      </c>
      <c r="H26" s="58">
        <v>0.05</v>
      </c>
      <c r="I26" s="58">
        <v>0.02</v>
      </c>
      <c r="J26" s="58">
        <v>0</v>
      </c>
      <c r="K26" s="58">
        <v>8.4</v>
      </c>
      <c r="L26" s="58">
        <v>0.7</v>
      </c>
    </row>
    <row r="27" spans="1:12" ht="92.25" thickBot="1">
      <c r="A27" s="61" t="s">
        <v>45</v>
      </c>
      <c r="B27" s="62" t="s">
        <v>144</v>
      </c>
      <c r="C27" s="55">
        <v>45</v>
      </c>
      <c r="D27" s="58">
        <v>2.52</v>
      </c>
      <c r="E27" s="58">
        <v>0.54</v>
      </c>
      <c r="F27" s="58">
        <v>22.23</v>
      </c>
      <c r="G27" s="58">
        <v>104.4</v>
      </c>
      <c r="H27" s="58">
        <v>0.05</v>
      </c>
      <c r="I27" s="58">
        <v>0.02</v>
      </c>
      <c r="J27" s="58">
        <v>0</v>
      </c>
      <c r="K27" s="58">
        <v>10.8</v>
      </c>
      <c r="L27" s="58">
        <v>1.44</v>
      </c>
    </row>
    <row r="28" spans="1:12" ht="46.5" thickBot="1">
      <c r="A28" s="121"/>
      <c r="B28" s="124" t="s">
        <v>37</v>
      </c>
      <c r="C28" s="55"/>
      <c r="D28" s="56">
        <f aca="true" t="shared" si="2" ref="D28:L28">SUM(D21:D27)</f>
        <v>25.37</v>
      </c>
      <c r="E28" s="56">
        <f t="shared" si="2"/>
        <v>26.02</v>
      </c>
      <c r="F28" s="56">
        <f t="shared" si="2"/>
        <v>109.39</v>
      </c>
      <c r="G28" s="56">
        <f t="shared" si="2"/>
        <v>805.8</v>
      </c>
      <c r="H28" s="56">
        <f t="shared" si="2"/>
        <v>0.45999999999999996</v>
      </c>
      <c r="I28" s="56">
        <f t="shared" si="2"/>
        <v>0.5</v>
      </c>
      <c r="J28" s="56">
        <f t="shared" si="2"/>
        <v>9.33</v>
      </c>
      <c r="K28" s="56">
        <f t="shared" si="2"/>
        <v>198.72</v>
      </c>
      <c r="L28" s="56">
        <f t="shared" si="2"/>
        <v>5.65</v>
      </c>
    </row>
    <row r="29" spans="1:12" ht="46.5" thickBot="1">
      <c r="A29" s="182" t="s">
        <v>207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50"/>
    </row>
    <row r="30" spans="1:12" ht="92.25" thickBot="1">
      <c r="A30" s="121">
        <v>69</v>
      </c>
      <c r="B30" s="62" t="s">
        <v>64</v>
      </c>
      <c r="C30" s="63" t="s">
        <v>51</v>
      </c>
      <c r="D30" s="58">
        <v>0.48</v>
      </c>
      <c r="E30" s="58">
        <v>0.06</v>
      </c>
      <c r="F30" s="58">
        <v>1.5</v>
      </c>
      <c r="G30" s="58">
        <v>8.4</v>
      </c>
      <c r="H30" s="58">
        <v>0.02</v>
      </c>
      <c r="I30" s="58">
        <v>0.02</v>
      </c>
      <c r="J30" s="58">
        <v>6</v>
      </c>
      <c r="K30" s="58">
        <v>13.8</v>
      </c>
      <c r="L30" s="58">
        <v>0.36</v>
      </c>
    </row>
    <row r="31" spans="1:12" ht="46.5" thickBot="1">
      <c r="A31" s="121">
        <v>91</v>
      </c>
      <c r="B31" s="62" t="s">
        <v>55</v>
      </c>
      <c r="C31" s="55">
        <v>150</v>
      </c>
      <c r="D31" s="58">
        <v>3.05</v>
      </c>
      <c r="E31" s="58">
        <v>5.24</v>
      </c>
      <c r="F31" s="58">
        <v>18.06</v>
      </c>
      <c r="G31" s="58">
        <v>142</v>
      </c>
      <c r="H31" s="58">
        <v>0.14</v>
      </c>
      <c r="I31" s="58">
        <v>0.1</v>
      </c>
      <c r="J31" s="58">
        <v>17.95</v>
      </c>
      <c r="K31" s="58">
        <v>46.18</v>
      </c>
      <c r="L31" s="58">
        <v>1.06</v>
      </c>
    </row>
    <row r="32" spans="1:12" ht="92.25" thickBot="1">
      <c r="A32" s="61" t="s">
        <v>45</v>
      </c>
      <c r="B32" s="62" t="s">
        <v>114</v>
      </c>
      <c r="C32" s="55">
        <v>30</v>
      </c>
      <c r="D32" s="58">
        <v>2.4</v>
      </c>
      <c r="E32" s="58">
        <v>0.3</v>
      </c>
      <c r="F32" s="58">
        <v>14.46</v>
      </c>
      <c r="G32" s="58">
        <v>70.8</v>
      </c>
      <c r="H32" s="58">
        <v>0.05</v>
      </c>
      <c r="I32" s="58">
        <v>0.02</v>
      </c>
      <c r="J32" s="58">
        <v>0</v>
      </c>
      <c r="K32" s="58">
        <v>7.2</v>
      </c>
      <c r="L32" s="58">
        <v>0.6</v>
      </c>
    </row>
    <row r="33" spans="1:12" ht="92.25" thickBot="1">
      <c r="A33" s="61">
        <v>2</v>
      </c>
      <c r="B33" s="62" t="s">
        <v>189</v>
      </c>
      <c r="C33" s="55">
        <v>180</v>
      </c>
      <c r="D33" s="56">
        <v>1.3</v>
      </c>
      <c r="E33" s="56">
        <v>1.3</v>
      </c>
      <c r="F33" s="56">
        <v>14</v>
      </c>
      <c r="G33" s="56">
        <v>92</v>
      </c>
      <c r="H33" s="56">
        <v>0.02</v>
      </c>
      <c r="I33" s="56">
        <v>0.02</v>
      </c>
      <c r="J33" s="56">
        <v>1</v>
      </c>
      <c r="K33" s="56">
        <v>108.24</v>
      </c>
      <c r="L33" s="56">
        <v>0.02</v>
      </c>
    </row>
    <row r="34" spans="1:12" ht="46.5" thickBot="1">
      <c r="A34" s="61">
        <v>21</v>
      </c>
      <c r="B34" s="125" t="s">
        <v>38</v>
      </c>
      <c r="C34" s="64" t="s">
        <v>34</v>
      </c>
      <c r="D34" s="56">
        <v>4.35</v>
      </c>
      <c r="E34" s="56">
        <v>4.8</v>
      </c>
      <c r="F34" s="56">
        <v>6</v>
      </c>
      <c r="G34" s="56">
        <v>88.5</v>
      </c>
      <c r="H34" s="56">
        <v>0.04</v>
      </c>
      <c r="I34" s="56">
        <v>0.26</v>
      </c>
      <c r="J34" s="56">
        <v>1.05</v>
      </c>
      <c r="K34" s="56">
        <v>180</v>
      </c>
      <c r="L34" s="56">
        <v>0.15</v>
      </c>
    </row>
    <row r="35" spans="1:12" ht="46.5" thickBot="1">
      <c r="A35" s="61">
        <v>99</v>
      </c>
      <c r="B35" s="62" t="s">
        <v>209</v>
      </c>
      <c r="C35" s="64" t="s">
        <v>146</v>
      </c>
      <c r="D35" s="58">
        <v>5.3</v>
      </c>
      <c r="E35" s="58">
        <v>6</v>
      </c>
      <c r="F35" s="58">
        <v>25.3</v>
      </c>
      <c r="G35" s="58">
        <v>149.3</v>
      </c>
      <c r="H35" s="58">
        <v>0.07</v>
      </c>
      <c r="I35" s="58">
        <v>0.06</v>
      </c>
      <c r="J35" s="58">
        <v>1.39</v>
      </c>
      <c r="K35" s="58">
        <v>21.95</v>
      </c>
      <c r="L35" s="58">
        <v>0.51</v>
      </c>
    </row>
    <row r="36" spans="1:12" ht="46.5" thickBot="1">
      <c r="A36" s="61"/>
      <c r="B36" s="62" t="s">
        <v>37</v>
      </c>
      <c r="C36" s="64"/>
      <c r="D36" s="58">
        <f>SUM(D30:D35)</f>
        <v>16.88</v>
      </c>
      <c r="E36" s="58">
        <f aca="true" t="shared" si="3" ref="E36:L36">SUM(E30:E35)</f>
        <v>17.7</v>
      </c>
      <c r="F36" s="58">
        <f t="shared" si="3"/>
        <v>79.32</v>
      </c>
      <c r="G36" s="58">
        <f t="shared" si="3"/>
        <v>551</v>
      </c>
      <c r="H36" s="58">
        <f t="shared" si="3"/>
        <v>0.34</v>
      </c>
      <c r="I36" s="58">
        <f t="shared" si="3"/>
        <v>0.48000000000000004</v>
      </c>
      <c r="J36" s="58">
        <f t="shared" si="3"/>
        <v>27.39</v>
      </c>
      <c r="K36" s="58">
        <f t="shared" si="3"/>
        <v>377.37</v>
      </c>
      <c r="L36" s="58">
        <f t="shared" si="3"/>
        <v>2.7</v>
      </c>
    </row>
    <row r="37" spans="1:12" ht="53.25" thickBot="1">
      <c r="A37" s="61"/>
      <c r="B37" s="62"/>
      <c r="C37" s="64"/>
      <c r="D37" s="111" t="s">
        <v>1</v>
      </c>
      <c r="E37" s="112" t="s">
        <v>2</v>
      </c>
      <c r="F37" s="112" t="s">
        <v>3</v>
      </c>
      <c r="G37" s="126" t="s">
        <v>4</v>
      </c>
      <c r="H37" s="113" t="s">
        <v>251</v>
      </c>
      <c r="I37" s="113" t="s">
        <v>252</v>
      </c>
      <c r="J37" s="112" t="s">
        <v>6</v>
      </c>
      <c r="K37" s="112" t="s">
        <v>31</v>
      </c>
      <c r="L37" s="112" t="s">
        <v>5</v>
      </c>
    </row>
    <row r="38" spans="1:12" ht="46.5" thickBot="1">
      <c r="A38" s="61"/>
      <c r="B38" s="127" t="s">
        <v>12</v>
      </c>
      <c r="C38" s="64"/>
      <c r="D38" s="58">
        <f aca="true" t="shared" si="4" ref="D38:L38">SUM(D15+D19+D28+D36)</f>
        <v>58.44</v>
      </c>
      <c r="E38" s="58">
        <f t="shared" si="4"/>
        <v>67.01</v>
      </c>
      <c r="F38" s="58">
        <f t="shared" si="4"/>
        <v>243.70999999999998</v>
      </c>
      <c r="G38" s="58">
        <f t="shared" si="4"/>
        <v>1853.77</v>
      </c>
      <c r="H38" s="58">
        <f t="shared" si="4"/>
        <v>0.94</v>
      </c>
      <c r="I38" s="58">
        <f t="shared" si="4"/>
        <v>1.2</v>
      </c>
      <c r="J38" s="58">
        <f t="shared" si="4"/>
        <v>48.39</v>
      </c>
      <c r="K38" s="58">
        <f t="shared" si="4"/>
        <v>756.73</v>
      </c>
      <c r="L38" s="58">
        <f t="shared" si="4"/>
        <v>12.760000000000002</v>
      </c>
    </row>
    <row r="39" spans="1:12" ht="46.5" thickBot="1">
      <c r="A39" s="61"/>
      <c r="B39" s="127" t="s">
        <v>13</v>
      </c>
      <c r="C39" s="64"/>
      <c r="D39" s="58">
        <v>51.3</v>
      </c>
      <c r="E39" s="58">
        <v>57</v>
      </c>
      <c r="F39" s="58">
        <v>247.95</v>
      </c>
      <c r="G39" s="58">
        <v>1710</v>
      </c>
      <c r="H39" s="58">
        <v>0.86</v>
      </c>
      <c r="I39" s="58">
        <v>0.95</v>
      </c>
      <c r="J39" s="58">
        <v>47.5</v>
      </c>
      <c r="K39" s="58">
        <v>855</v>
      </c>
      <c r="L39" s="58">
        <v>9.5</v>
      </c>
    </row>
    <row r="40" spans="1:12" ht="136.5" thickBot="1">
      <c r="A40" s="115"/>
      <c r="B40" s="128" t="s">
        <v>14</v>
      </c>
      <c r="C40" s="112"/>
      <c r="D40" s="129">
        <f>D38*100/D39</f>
        <v>113.91812865497077</v>
      </c>
      <c r="E40" s="129">
        <f aca="true" t="shared" si="5" ref="E40:L40">E38*100/E39</f>
        <v>117.56140350877195</v>
      </c>
      <c r="F40" s="129">
        <f t="shared" si="5"/>
        <v>98.28997781810848</v>
      </c>
      <c r="G40" s="129">
        <f t="shared" si="5"/>
        <v>108.40760233918128</v>
      </c>
      <c r="H40" s="129">
        <f t="shared" si="5"/>
        <v>109.30232558139535</v>
      </c>
      <c r="I40" s="129">
        <f t="shared" si="5"/>
        <v>126.31578947368422</v>
      </c>
      <c r="J40" s="129">
        <f t="shared" si="5"/>
        <v>101.87368421052632</v>
      </c>
      <c r="K40" s="129">
        <f t="shared" si="5"/>
        <v>88.50643274853802</v>
      </c>
      <c r="L40" s="129">
        <f t="shared" si="5"/>
        <v>134.31578947368425</v>
      </c>
    </row>
    <row r="41" spans="1:12" ht="45.75">
      <c r="A41" s="130"/>
      <c r="B41" s="102"/>
      <c r="C41" s="131"/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2" ht="45.75">
      <c r="A42" s="130"/>
      <c r="B42" s="100" t="s">
        <v>182</v>
      </c>
      <c r="C42" s="100"/>
      <c r="E42" s="132"/>
      <c r="F42" s="132"/>
      <c r="G42" s="132"/>
      <c r="H42" s="132"/>
      <c r="I42" s="132"/>
      <c r="J42" s="132"/>
      <c r="K42" s="132"/>
      <c r="L42" s="132"/>
    </row>
    <row r="43" spans="1:12" ht="53.25">
      <c r="A43" s="130"/>
      <c r="B43" s="100" t="s">
        <v>254</v>
      </c>
      <c r="L43" s="132"/>
    </row>
    <row r="44" spans="1:12" ht="45.75">
      <c r="A44" s="130"/>
      <c r="B44" s="100" t="s">
        <v>180</v>
      </c>
      <c r="L44" s="132"/>
    </row>
    <row r="45" spans="1:12" ht="45.75">
      <c r="A45" s="130"/>
      <c r="B45" s="100" t="s">
        <v>179</v>
      </c>
      <c r="L45" s="132"/>
    </row>
    <row r="46" spans="1:12" ht="45.75">
      <c r="A46" s="130"/>
      <c r="L46" s="132"/>
    </row>
    <row r="47" spans="1:12" ht="45.75">
      <c r="A47" s="174" t="s">
        <v>102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</row>
    <row r="48" spans="1:12" ht="45.75">
      <c r="A48" s="174" t="s">
        <v>98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</row>
    <row r="49" spans="1:12" ht="45.75">
      <c r="A49" s="175" t="s">
        <v>99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</row>
    <row r="50" spans="1:12" ht="46.5" thickBo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</row>
    <row r="51" spans="1:12" ht="46.5" thickBot="1">
      <c r="A51" s="177" t="s">
        <v>39</v>
      </c>
      <c r="B51" s="152" t="s">
        <v>100</v>
      </c>
      <c r="C51" s="104" t="s">
        <v>27</v>
      </c>
      <c r="D51" s="179" t="s">
        <v>28</v>
      </c>
      <c r="E51" s="180"/>
      <c r="F51" s="181"/>
      <c r="G51" s="152" t="s">
        <v>101</v>
      </c>
      <c r="H51" s="179" t="s">
        <v>29</v>
      </c>
      <c r="I51" s="180"/>
      <c r="J51" s="181"/>
      <c r="K51" s="179" t="s">
        <v>30</v>
      </c>
      <c r="L51" s="181"/>
    </row>
    <row r="52" spans="1:12" ht="53.25" thickBot="1">
      <c r="A52" s="178"/>
      <c r="B52" s="103"/>
      <c r="C52" s="105"/>
      <c r="D52" s="111" t="s">
        <v>1</v>
      </c>
      <c r="E52" s="112" t="s">
        <v>2</v>
      </c>
      <c r="F52" s="112" t="s">
        <v>3</v>
      </c>
      <c r="G52" s="103"/>
      <c r="H52" s="113" t="s">
        <v>251</v>
      </c>
      <c r="I52" s="114" t="s">
        <v>252</v>
      </c>
      <c r="J52" s="112" t="s">
        <v>6</v>
      </c>
      <c r="K52" s="112" t="s">
        <v>31</v>
      </c>
      <c r="L52" s="112" t="s">
        <v>5</v>
      </c>
    </row>
    <row r="53" spans="1:12" ht="46.5" thickBot="1">
      <c r="A53" s="115">
        <v>1</v>
      </c>
      <c r="B53" s="116">
        <v>2</v>
      </c>
      <c r="C53" s="117">
        <v>3</v>
      </c>
      <c r="D53" s="118">
        <v>4</v>
      </c>
      <c r="E53" s="116">
        <v>5</v>
      </c>
      <c r="F53" s="116">
        <v>6</v>
      </c>
      <c r="G53" s="116">
        <v>7</v>
      </c>
      <c r="H53" s="119">
        <v>8</v>
      </c>
      <c r="I53" s="116">
        <v>9</v>
      </c>
      <c r="J53" s="116">
        <v>10</v>
      </c>
      <c r="K53" s="119">
        <v>11</v>
      </c>
      <c r="L53" s="116">
        <v>12</v>
      </c>
    </row>
    <row r="54" spans="1:12" ht="46.5" thickBot="1">
      <c r="A54" s="179" t="s">
        <v>7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1"/>
    </row>
    <row r="55" spans="1:12" ht="138" thickBot="1">
      <c r="A55" s="61">
        <v>84</v>
      </c>
      <c r="B55" s="133" t="s">
        <v>129</v>
      </c>
      <c r="C55" s="55">
        <v>200</v>
      </c>
      <c r="D55" s="58">
        <v>6.35</v>
      </c>
      <c r="E55" s="58">
        <v>8.51</v>
      </c>
      <c r="F55" s="58">
        <v>21.86</v>
      </c>
      <c r="G55" s="129">
        <v>187</v>
      </c>
      <c r="H55" s="129">
        <v>0.13</v>
      </c>
      <c r="I55" s="129">
        <v>0.04</v>
      </c>
      <c r="J55" s="129">
        <v>1.95</v>
      </c>
      <c r="K55" s="134">
        <v>188.95</v>
      </c>
      <c r="L55" s="129">
        <v>0.82</v>
      </c>
    </row>
    <row r="56" spans="1:12" ht="46.5" thickBot="1">
      <c r="A56" s="61">
        <v>15</v>
      </c>
      <c r="B56" s="62" t="s">
        <v>18</v>
      </c>
      <c r="C56" s="55">
        <v>180</v>
      </c>
      <c r="D56" s="58">
        <v>1.2</v>
      </c>
      <c r="E56" s="58">
        <v>1.3</v>
      </c>
      <c r="F56" s="58">
        <v>13</v>
      </c>
      <c r="G56" s="58">
        <v>90</v>
      </c>
      <c r="H56" s="123">
        <v>0.03</v>
      </c>
      <c r="I56" s="123">
        <v>0.03</v>
      </c>
      <c r="J56" s="123">
        <v>1</v>
      </c>
      <c r="K56" s="58">
        <v>109.78</v>
      </c>
      <c r="L56" s="58">
        <v>0.02</v>
      </c>
    </row>
    <row r="57" spans="1:12" ht="46.5" thickBot="1">
      <c r="A57" s="61">
        <v>16</v>
      </c>
      <c r="B57" s="62" t="s">
        <v>54</v>
      </c>
      <c r="C57" s="63" t="s">
        <v>205</v>
      </c>
      <c r="D57" s="58">
        <v>2.3</v>
      </c>
      <c r="E57" s="58">
        <v>4.36</v>
      </c>
      <c r="F57" s="58">
        <v>14.62</v>
      </c>
      <c r="G57" s="58">
        <v>108</v>
      </c>
      <c r="H57" s="58">
        <v>0.03</v>
      </c>
      <c r="I57" s="58">
        <v>0.03</v>
      </c>
      <c r="J57" s="58">
        <v>0</v>
      </c>
      <c r="K57" s="58">
        <v>6.6</v>
      </c>
      <c r="L57" s="58">
        <v>0.34</v>
      </c>
    </row>
    <row r="58" spans="1:12" ht="46.5" thickBot="1">
      <c r="A58" s="61"/>
      <c r="B58" s="62" t="s">
        <v>8</v>
      </c>
      <c r="C58" s="55"/>
      <c r="D58" s="58">
        <f>SUM(D55:D57)</f>
        <v>9.85</v>
      </c>
      <c r="E58" s="58">
        <f aca="true" t="shared" si="6" ref="E58:L58">SUM(E55:E57)</f>
        <v>14.170000000000002</v>
      </c>
      <c r="F58" s="58">
        <f t="shared" si="6"/>
        <v>49.48</v>
      </c>
      <c r="G58" s="58">
        <f t="shared" si="6"/>
        <v>385</v>
      </c>
      <c r="H58" s="58">
        <f t="shared" si="6"/>
        <v>0.19</v>
      </c>
      <c r="I58" s="58">
        <f t="shared" si="6"/>
        <v>0.1</v>
      </c>
      <c r="J58" s="58">
        <f t="shared" si="6"/>
        <v>2.95</v>
      </c>
      <c r="K58" s="58">
        <f t="shared" si="6"/>
        <v>305.33000000000004</v>
      </c>
      <c r="L58" s="58">
        <f t="shared" si="6"/>
        <v>1.18</v>
      </c>
    </row>
    <row r="59" spans="1:12" ht="46.5" thickBot="1">
      <c r="A59" s="179" t="s">
        <v>107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1"/>
    </row>
    <row r="60" spans="1:12" ht="46.5" thickBot="1">
      <c r="A60" s="61" t="s">
        <v>45</v>
      </c>
      <c r="B60" s="62" t="s">
        <v>108</v>
      </c>
      <c r="C60" s="63" t="s">
        <v>238</v>
      </c>
      <c r="D60" s="58">
        <v>0.18</v>
      </c>
      <c r="E60" s="58">
        <v>0.09</v>
      </c>
      <c r="F60" s="58">
        <v>9.09</v>
      </c>
      <c r="G60" s="58">
        <v>41.4</v>
      </c>
      <c r="H60" s="58">
        <v>0.01</v>
      </c>
      <c r="I60" s="58">
        <v>0.01</v>
      </c>
      <c r="J60" s="58">
        <v>1.8</v>
      </c>
      <c r="K60" s="58">
        <v>6.3</v>
      </c>
      <c r="L60" s="58">
        <v>0.18</v>
      </c>
    </row>
    <row r="61" spans="1:12" ht="54" thickBot="1">
      <c r="A61" s="61" t="s">
        <v>45</v>
      </c>
      <c r="B61" s="62" t="s">
        <v>255</v>
      </c>
      <c r="C61" s="55">
        <v>110</v>
      </c>
      <c r="D61" s="58">
        <v>0.39</v>
      </c>
      <c r="E61" s="58">
        <v>0.29</v>
      </c>
      <c r="F61" s="58">
        <v>10.19</v>
      </c>
      <c r="G61" s="58">
        <v>46.53</v>
      </c>
      <c r="H61" s="58">
        <v>0.02</v>
      </c>
      <c r="I61" s="58">
        <v>0.04</v>
      </c>
      <c r="J61" s="58">
        <v>4.95</v>
      </c>
      <c r="K61" s="58">
        <v>18.81</v>
      </c>
      <c r="L61" s="58">
        <v>2.27</v>
      </c>
    </row>
    <row r="62" spans="1:12" ht="46.5" thickBot="1">
      <c r="A62" s="61"/>
      <c r="B62" s="62" t="s">
        <v>8</v>
      </c>
      <c r="C62" s="64"/>
      <c r="D62" s="58">
        <f aca="true" t="shared" si="7" ref="D62:L62">SUM(D60:D61)</f>
        <v>0.5700000000000001</v>
      </c>
      <c r="E62" s="58">
        <f t="shared" si="7"/>
        <v>0.38</v>
      </c>
      <c r="F62" s="58">
        <f t="shared" si="7"/>
        <v>19.28</v>
      </c>
      <c r="G62" s="58">
        <f t="shared" si="7"/>
        <v>87.93</v>
      </c>
      <c r="H62" s="58">
        <f t="shared" si="7"/>
        <v>0.03</v>
      </c>
      <c r="I62" s="58">
        <f t="shared" si="7"/>
        <v>0.05</v>
      </c>
      <c r="J62" s="58">
        <f t="shared" si="7"/>
        <v>6.75</v>
      </c>
      <c r="K62" s="58">
        <f t="shared" si="7"/>
        <v>25.11</v>
      </c>
      <c r="L62" s="58">
        <f t="shared" si="7"/>
        <v>2.45</v>
      </c>
    </row>
    <row r="63" spans="1:12" ht="46.5" thickBot="1">
      <c r="A63" s="182" t="s">
        <v>40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50"/>
    </row>
    <row r="64" spans="1:12" ht="46.5" thickBot="1">
      <c r="A64" s="61">
        <v>95</v>
      </c>
      <c r="B64" s="62" t="s">
        <v>210</v>
      </c>
      <c r="C64" s="63" t="s">
        <v>51</v>
      </c>
      <c r="D64" s="58">
        <v>0.59</v>
      </c>
      <c r="E64" s="58">
        <v>4.04</v>
      </c>
      <c r="F64" s="58">
        <v>4.3</v>
      </c>
      <c r="G64" s="58">
        <v>57.3</v>
      </c>
      <c r="H64" s="58">
        <v>0.013</v>
      </c>
      <c r="I64" s="58">
        <v>0.013</v>
      </c>
      <c r="J64" s="58">
        <v>4</v>
      </c>
      <c r="K64" s="58">
        <v>13.42</v>
      </c>
      <c r="L64" s="58">
        <v>0.64</v>
      </c>
    </row>
    <row r="65" spans="1:12" ht="92.25" thickBot="1">
      <c r="A65" s="61">
        <v>46</v>
      </c>
      <c r="B65" s="62" t="s">
        <v>202</v>
      </c>
      <c r="C65" s="63" t="s">
        <v>218</v>
      </c>
      <c r="D65" s="58">
        <v>4.97</v>
      </c>
      <c r="E65" s="58">
        <v>6.19</v>
      </c>
      <c r="F65" s="58">
        <v>21.3</v>
      </c>
      <c r="G65" s="58">
        <v>152.84</v>
      </c>
      <c r="H65" s="58">
        <v>0.1</v>
      </c>
      <c r="I65" s="58">
        <v>0.02</v>
      </c>
      <c r="J65" s="58">
        <v>9</v>
      </c>
      <c r="K65" s="58">
        <v>21.3</v>
      </c>
      <c r="L65" s="58">
        <v>1.23</v>
      </c>
    </row>
    <row r="66" spans="1:12" ht="92.25" thickBot="1">
      <c r="A66" s="61">
        <v>6</v>
      </c>
      <c r="B66" s="62" t="s">
        <v>69</v>
      </c>
      <c r="C66" s="64" t="s">
        <v>146</v>
      </c>
      <c r="D66" s="58">
        <v>9.84</v>
      </c>
      <c r="E66" s="58">
        <v>8.02</v>
      </c>
      <c r="F66" s="58">
        <v>7.16</v>
      </c>
      <c r="G66" s="58">
        <v>139.13</v>
      </c>
      <c r="H66" s="58">
        <v>0.04</v>
      </c>
      <c r="I66" s="58">
        <v>0.06</v>
      </c>
      <c r="J66" s="58">
        <v>0.81</v>
      </c>
      <c r="K66" s="58">
        <v>27.03</v>
      </c>
      <c r="L66" s="58">
        <v>0.86</v>
      </c>
    </row>
    <row r="67" spans="1:12" ht="46.5" thickBot="1">
      <c r="A67" s="61">
        <v>27</v>
      </c>
      <c r="B67" s="62" t="s">
        <v>46</v>
      </c>
      <c r="C67" s="55">
        <v>150</v>
      </c>
      <c r="D67" s="58">
        <v>3.02</v>
      </c>
      <c r="E67" s="58">
        <v>5.66</v>
      </c>
      <c r="F67" s="58">
        <v>10.14</v>
      </c>
      <c r="G67" s="58">
        <v>109.5</v>
      </c>
      <c r="H67" s="58">
        <v>0.05</v>
      </c>
      <c r="I67" s="58">
        <v>0.03</v>
      </c>
      <c r="J67" s="58">
        <v>18.3</v>
      </c>
      <c r="K67" s="58">
        <v>83.07</v>
      </c>
      <c r="L67" s="58">
        <v>1</v>
      </c>
    </row>
    <row r="68" spans="1:12" ht="46.5" thickBot="1">
      <c r="A68" s="61">
        <v>9</v>
      </c>
      <c r="B68" s="62" t="s">
        <v>74</v>
      </c>
      <c r="C68" s="55">
        <v>200</v>
      </c>
      <c r="D68" s="58">
        <v>0.48</v>
      </c>
      <c r="E68" s="58">
        <v>0</v>
      </c>
      <c r="F68" s="58">
        <v>23.8</v>
      </c>
      <c r="G68" s="58">
        <v>90</v>
      </c>
      <c r="H68" s="58">
        <v>0</v>
      </c>
      <c r="I68" s="58">
        <v>0</v>
      </c>
      <c r="J68" s="58">
        <v>0.4</v>
      </c>
      <c r="K68" s="58">
        <v>49.14</v>
      </c>
      <c r="L68" s="58">
        <v>0.01</v>
      </c>
    </row>
    <row r="69" spans="1:12" ht="92.25" thickBot="1">
      <c r="A69" s="61" t="s">
        <v>45</v>
      </c>
      <c r="B69" s="62" t="s">
        <v>114</v>
      </c>
      <c r="C69" s="55">
        <v>35</v>
      </c>
      <c r="D69" s="58">
        <v>2.8</v>
      </c>
      <c r="E69" s="58">
        <v>0.35</v>
      </c>
      <c r="F69" s="58">
        <v>19.87</v>
      </c>
      <c r="G69" s="58">
        <v>82.6</v>
      </c>
      <c r="H69" s="58">
        <v>0.05</v>
      </c>
      <c r="I69" s="58">
        <v>0.02</v>
      </c>
      <c r="J69" s="58">
        <v>0</v>
      </c>
      <c r="K69" s="58">
        <v>8.4</v>
      </c>
      <c r="L69" s="58">
        <v>0.7</v>
      </c>
    </row>
    <row r="70" spans="1:12" ht="92.25" thickBot="1">
      <c r="A70" s="61" t="s">
        <v>45</v>
      </c>
      <c r="B70" s="62" t="s">
        <v>144</v>
      </c>
      <c r="C70" s="55">
        <v>45</v>
      </c>
      <c r="D70" s="58">
        <v>2.52</v>
      </c>
      <c r="E70" s="58">
        <v>0.54</v>
      </c>
      <c r="F70" s="58">
        <v>22.23</v>
      </c>
      <c r="G70" s="58">
        <v>104.4</v>
      </c>
      <c r="H70" s="58">
        <v>0.05</v>
      </c>
      <c r="I70" s="58">
        <v>0.02</v>
      </c>
      <c r="J70" s="58">
        <v>0</v>
      </c>
      <c r="K70" s="58">
        <v>10.8</v>
      </c>
      <c r="L70" s="58">
        <v>1.44</v>
      </c>
    </row>
    <row r="71" spans="1:12" ht="46.5" thickBot="1">
      <c r="A71" s="115"/>
      <c r="B71" s="62" t="s">
        <v>8</v>
      </c>
      <c r="C71" s="64"/>
      <c r="D71" s="58">
        <f aca="true" t="shared" si="8" ref="D71:L71">SUM(D64:D70)</f>
        <v>24.22</v>
      </c>
      <c r="E71" s="58">
        <f t="shared" si="8"/>
        <v>24.8</v>
      </c>
      <c r="F71" s="58">
        <f t="shared" si="8"/>
        <v>108.80000000000001</v>
      </c>
      <c r="G71" s="58">
        <f t="shared" si="8"/>
        <v>735.77</v>
      </c>
      <c r="H71" s="58">
        <f t="shared" si="8"/>
        <v>0.303</v>
      </c>
      <c r="I71" s="58">
        <f t="shared" si="8"/>
        <v>0.16299999999999998</v>
      </c>
      <c r="J71" s="58">
        <f t="shared" si="8"/>
        <v>32.51</v>
      </c>
      <c r="K71" s="58">
        <f t="shared" si="8"/>
        <v>213.16</v>
      </c>
      <c r="L71" s="58">
        <f t="shared" si="8"/>
        <v>5.879999999999999</v>
      </c>
    </row>
    <row r="72" spans="1:12" ht="46.5" thickBot="1">
      <c r="A72" s="182" t="s">
        <v>207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50"/>
    </row>
    <row r="73" spans="1:12" ht="92.25" thickBot="1">
      <c r="A73" s="61">
        <v>49</v>
      </c>
      <c r="B73" s="62" t="s">
        <v>77</v>
      </c>
      <c r="C73" s="63" t="s">
        <v>76</v>
      </c>
      <c r="D73" s="58">
        <v>16.78</v>
      </c>
      <c r="E73" s="58">
        <v>22.19</v>
      </c>
      <c r="F73" s="58">
        <v>35.78</v>
      </c>
      <c r="G73" s="58">
        <v>422</v>
      </c>
      <c r="H73" s="58">
        <v>0.09</v>
      </c>
      <c r="I73" s="58">
        <v>0.26</v>
      </c>
      <c r="J73" s="58">
        <v>0.33</v>
      </c>
      <c r="K73" s="58">
        <v>202.11</v>
      </c>
      <c r="L73" s="58">
        <v>1.39</v>
      </c>
    </row>
    <row r="74" spans="1:12" ht="46.5" thickBot="1">
      <c r="A74" s="53">
        <v>76</v>
      </c>
      <c r="B74" s="54" t="s">
        <v>61</v>
      </c>
      <c r="C74" s="64" t="s">
        <v>148</v>
      </c>
      <c r="D74" s="56">
        <v>0.8</v>
      </c>
      <c r="E74" s="56">
        <v>1</v>
      </c>
      <c r="F74" s="56">
        <v>13.5</v>
      </c>
      <c r="G74" s="56">
        <v>56</v>
      </c>
      <c r="H74" s="56">
        <v>0.02</v>
      </c>
      <c r="I74" s="56">
        <v>0.07</v>
      </c>
      <c r="J74" s="56">
        <v>0.65</v>
      </c>
      <c r="K74" s="56">
        <v>60.35</v>
      </c>
      <c r="L74" s="56">
        <v>0.09</v>
      </c>
    </row>
    <row r="75" spans="1:12" ht="46.5" thickBot="1">
      <c r="A75" s="61">
        <v>21</v>
      </c>
      <c r="B75" s="125" t="s">
        <v>38</v>
      </c>
      <c r="C75" s="64" t="s">
        <v>34</v>
      </c>
      <c r="D75" s="56">
        <v>4.35</v>
      </c>
      <c r="E75" s="56">
        <v>4.8</v>
      </c>
      <c r="F75" s="56">
        <v>6</v>
      </c>
      <c r="G75" s="56">
        <v>88.5</v>
      </c>
      <c r="H75" s="56">
        <v>0.04</v>
      </c>
      <c r="I75" s="56">
        <v>0.26</v>
      </c>
      <c r="J75" s="56">
        <v>1.05</v>
      </c>
      <c r="K75" s="56">
        <v>180</v>
      </c>
      <c r="L75" s="56">
        <v>0.15</v>
      </c>
    </row>
    <row r="76" spans="1:12" ht="275.25" thickBot="1">
      <c r="A76" s="61" t="s">
        <v>45</v>
      </c>
      <c r="B76" s="62" t="s">
        <v>134</v>
      </c>
      <c r="C76" s="64" t="s">
        <v>164</v>
      </c>
      <c r="D76" s="58">
        <v>1.35</v>
      </c>
      <c r="E76" s="58">
        <v>1.8</v>
      </c>
      <c r="F76" s="58">
        <v>31.5</v>
      </c>
      <c r="G76" s="58">
        <v>130.77</v>
      </c>
      <c r="H76" s="58">
        <v>0.03</v>
      </c>
      <c r="I76" s="58">
        <v>0.01</v>
      </c>
      <c r="J76" s="58">
        <v>0</v>
      </c>
      <c r="K76" s="58">
        <v>5.4</v>
      </c>
      <c r="L76" s="58">
        <v>0.36</v>
      </c>
    </row>
    <row r="77" spans="1:12" ht="46.5" thickBot="1">
      <c r="A77" s="115"/>
      <c r="B77" s="62" t="s">
        <v>8</v>
      </c>
      <c r="C77" s="64"/>
      <c r="D77" s="58">
        <f>SUM(D73:D76)</f>
        <v>23.28</v>
      </c>
      <c r="E77" s="58">
        <f aca="true" t="shared" si="9" ref="E77:L77">SUM(E73:E76)</f>
        <v>29.790000000000003</v>
      </c>
      <c r="F77" s="58">
        <f t="shared" si="9"/>
        <v>86.78</v>
      </c>
      <c r="G77" s="58">
        <f t="shared" si="9"/>
        <v>697.27</v>
      </c>
      <c r="H77" s="58">
        <f t="shared" si="9"/>
        <v>0.18</v>
      </c>
      <c r="I77" s="58">
        <f t="shared" si="9"/>
        <v>0.6000000000000001</v>
      </c>
      <c r="J77" s="58">
        <f t="shared" si="9"/>
        <v>2.0300000000000002</v>
      </c>
      <c r="K77" s="58">
        <f t="shared" si="9"/>
        <v>447.86</v>
      </c>
      <c r="L77" s="58">
        <f t="shared" si="9"/>
        <v>1.9899999999999998</v>
      </c>
    </row>
    <row r="78" spans="1:12" ht="53.25" thickBot="1">
      <c r="A78" s="61"/>
      <c r="B78" s="62"/>
      <c r="C78" s="64"/>
      <c r="D78" s="111" t="s">
        <v>1</v>
      </c>
      <c r="E78" s="112" t="s">
        <v>2</v>
      </c>
      <c r="F78" s="112" t="s">
        <v>3</v>
      </c>
      <c r="G78" s="126" t="s">
        <v>4</v>
      </c>
      <c r="H78" s="113" t="s">
        <v>251</v>
      </c>
      <c r="I78" s="113" t="s">
        <v>252</v>
      </c>
      <c r="J78" s="112" t="s">
        <v>6</v>
      </c>
      <c r="K78" s="112" t="s">
        <v>31</v>
      </c>
      <c r="L78" s="112" t="s">
        <v>5</v>
      </c>
    </row>
    <row r="79" spans="1:12" ht="46.5" thickBot="1">
      <c r="A79" s="61"/>
      <c r="B79" s="127" t="s">
        <v>12</v>
      </c>
      <c r="C79" s="64"/>
      <c r="D79" s="58">
        <f aca="true" t="shared" si="10" ref="D79:L79">SUM(D58+D62+D71+D77)</f>
        <v>57.92</v>
      </c>
      <c r="E79" s="58">
        <f t="shared" si="10"/>
        <v>69.14</v>
      </c>
      <c r="F79" s="58">
        <f t="shared" si="10"/>
        <v>264.34000000000003</v>
      </c>
      <c r="G79" s="58">
        <f t="shared" si="10"/>
        <v>1905.97</v>
      </c>
      <c r="H79" s="58">
        <f t="shared" si="10"/>
        <v>0.7030000000000001</v>
      </c>
      <c r="I79" s="58">
        <f t="shared" si="10"/>
        <v>0.913</v>
      </c>
      <c r="J79" s="58">
        <f t="shared" si="10"/>
        <v>44.239999999999995</v>
      </c>
      <c r="K79" s="58">
        <f t="shared" si="10"/>
        <v>991.46</v>
      </c>
      <c r="L79" s="58">
        <f t="shared" si="10"/>
        <v>11.499999999999998</v>
      </c>
    </row>
    <row r="80" spans="1:12" ht="46.5" thickBot="1">
      <c r="A80" s="61"/>
      <c r="B80" s="127" t="s">
        <v>13</v>
      </c>
      <c r="C80" s="64"/>
      <c r="D80" s="58">
        <v>51.3</v>
      </c>
      <c r="E80" s="58">
        <v>57</v>
      </c>
      <c r="F80" s="58">
        <v>247.95</v>
      </c>
      <c r="G80" s="58">
        <v>1710</v>
      </c>
      <c r="H80" s="58">
        <v>0.86</v>
      </c>
      <c r="I80" s="58">
        <v>0.95</v>
      </c>
      <c r="J80" s="58">
        <v>47.5</v>
      </c>
      <c r="K80" s="58">
        <v>855</v>
      </c>
      <c r="L80" s="58">
        <v>9.5</v>
      </c>
    </row>
    <row r="81" spans="1:12" s="120" customFormat="1" ht="136.5" thickBot="1">
      <c r="A81" s="115"/>
      <c r="B81" s="128" t="s">
        <v>14</v>
      </c>
      <c r="C81" s="112"/>
      <c r="D81" s="129">
        <f>D79*100/D80</f>
        <v>112.90448343079923</v>
      </c>
      <c r="E81" s="129">
        <f aca="true" t="shared" si="11" ref="E81:L81">E79*100/E80</f>
        <v>121.29824561403508</v>
      </c>
      <c r="F81" s="129">
        <f t="shared" si="11"/>
        <v>106.61020367009479</v>
      </c>
      <c r="G81" s="129">
        <f t="shared" si="11"/>
        <v>111.46023391812865</v>
      </c>
      <c r="H81" s="129">
        <f t="shared" si="11"/>
        <v>81.74418604651164</v>
      </c>
      <c r="I81" s="129">
        <f t="shared" si="11"/>
        <v>96.10526315789474</v>
      </c>
      <c r="J81" s="129">
        <f t="shared" si="11"/>
        <v>93.13684210526314</v>
      </c>
      <c r="K81" s="129">
        <f t="shared" si="11"/>
        <v>115.96023391812865</v>
      </c>
      <c r="L81" s="129">
        <f t="shared" si="11"/>
        <v>121.05263157894734</v>
      </c>
    </row>
    <row r="82" spans="1:12" s="120" customFormat="1" ht="45.75">
      <c r="A82" s="130"/>
      <c r="B82" s="102"/>
      <c r="C82" s="131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1:12" s="120" customFormat="1" ht="45.75">
      <c r="A83" s="130"/>
      <c r="B83" s="100" t="s">
        <v>182</v>
      </c>
      <c r="C83" s="100"/>
      <c r="D83" s="100"/>
      <c r="E83" s="132"/>
      <c r="F83" s="132"/>
      <c r="G83" s="132"/>
      <c r="H83" s="132"/>
      <c r="I83" s="132"/>
      <c r="J83" s="132"/>
      <c r="K83" s="132"/>
      <c r="L83" s="132"/>
    </row>
    <row r="84" spans="1:12" s="120" customFormat="1" ht="53.25">
      <c r="A84" s="130"/>
      <c r="B84" s="100" t="s">
        <v>254</v>
      </c>
      <c r="C84" s="101"/>
      <c r="D84" s="100"/>
      <c r="E84" s="100"/>
      <c r="F84" s="100"/>
      <c r="G84" s="100"/>
      <c r="H84" s="100"/>
      <c r="I84" s="100"/>
      <c r="J84" s="100"/>
      <c r="K84" s="100"/>
      <c r="L84" s="132"/>
    </row>
    <row r="85" spans="1:12" s="120" customFormat="1" ht="45.75">
      <c r="A85" s="130"/>
      <c r="B85" s="100" t="s">
        <v>180</v>
      </c>
      <c r="C85" s="101"/>
      <c r="D85" s="100"/>
      <c r="E85" s="100"/>
      <c r="F85" s="100"/>
      <c r="G85" s="100"/>
      <c r="H85" s="100"/>
      <c r="I85" s="100"/>
      <c r="J85" s="100"/>
      <c r="K85" s="100"/>
      <c r="L85" s="132"/>
    </row>
    <row r="86" spans="1:12" s="120" customFormat="1" ht="45.75">
      <c r="A86" s="130"/>
      <c r="B86" s="100" t="s">
        <v>179</v>
      </c>
      <c r="C86" s="101"/>
      <c r="D86" s="100"/>
      <c r="E86" s="100"/>
      <c r="F86" s="100"/>
      <c r="G86" s="100"/>
      <c r="H86" s="100"/>
      <c r="I86" s="100"/>
      <c r="J86" s="100"/>
      <c r="K86" s="100"/>
      <c r="L86" s="132"/>
    </row>
    <row r="87" spans="1:12" s="120" customFormat="1" ht="45.75">
      <c r="A87" s="130"/>
      <c r="B87" s="100"/>
      <c r="C87" s="101"/>
      <c r="D87" s="100"/>
      <c r="E87" s="100"/>
      <c r="F87" s="100"/>
      <c r="G87" s="100"/>
      <c r="H87" s="100"/>
      <c r="I87" s="100"/>
      <c r="J87" s="100"/>
      <c r="K87" s="100"/>
      <c r="L87" s="132"/>
    </row>
    <row r="88" spans="1:12" s="120" customFormat="1" ht="45.75">
      <c r="A88" s="174" t="s">
        <v>103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</row>
    <row r="89" spans="1:12" s="120" customFormat="1" ht="45.75">
      <c r="A89" s="174" t="s">
        <v>98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</row>
    <row r="90" spans="1:12" ht="45.75">
      <c r="A90" s="175" t="s">
        <v>99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</row>
    <row r="91" spans="1:12" ht="46.5" thickBot="1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</row>
    <row r="92" spans="1:12" ht="46.5" thickBot="1">
      <c r="A92" s="177" t="s">
        <v>39</v>
      </c>
      <c r="B92" s="152" t="s">
        <v>100</v>
      </c>
      <c r="C92" s="104" t="s">
        <v>27</v>
      </c>
      <c r="D92" s="179" t="s">
        <v>28</v>
      </c>
      <c r="E92" s="180"/>
      <c r="F92" s="181"/>
      <c r="G92" s="152" t="s">
        <v>101</v>
      </c>
      <c r="H92" s="179" t="s">
        <v>29</v>
      </c>
      <c r="I92" s="180"/>
      <c r="J92" s="181"/>
      <c r="K92" s="179" t="s">
        <v>30</v>
      </c>
      <c r="L92" s="181"/>
    </row>
    <row r="93" spans="1:12" ht="53.25" thickBot="1">
      <c r="A93" s="178"/>
      <c r="B93" s="103"/>
      <c r="C93" s="105"/>
      <c r="D93" s="111" t="s">
        <v>1</v>
      </c>
      <c r="E93" s="112" t="s">
        <v>2</v>
      </c>
      <c r="F93" s="112" t="s">
        <v>3</v>
      </c>
      <c r="G93" s="103"/>
      <c r="H93" s="113" t="s">
        <v>251</v>
      </c>
      <c r="I93" s="135" t="s">
        <v>252</v>
      </c>
      <c r="J93" s="112" t="s">
        <v>6</v>
      </c>
      <c r="K93" s="112" t="s">
        <v>31</v>
      </c>
      <c r="L93" s="112" t="s">
        <v>5</v>
      </c>
    </row>
    <row r="94" spans="1:12" ht="46.5" thickBot="1">
      <c r="A94" s="110">
        <v>1</v>
      </c>
      <c r="B94" s="116">
        <v>2</v>
      </c>
      <c r="C94" s="117">
        <v>3</v>
      </c>
      <c r="D94" s="136">
        <v>4</v>
      </c>
      <c r="E94" s="116">
        <v>5</v>
      </c>
      <c r="F94" s="116">
        <v>6</v>
      </c>
      <c r="G94" s="116">
        <v>7</v>
      </c>
      <c r="H94" s="137">
        <v>8</v>
      </c>
      <c r="I94" s="116">
        <v>9</v>
      </c>
      <c r="J94" s="116">
        <v>10</v>
      </c>
      <c r="K94" s="137">
        <v>11</v>
      </c>
      <c r="L94" s="116">
        <v>12</v>
      </c>
    </row>
    <row r="95" spans="1:12" ht="46.5" thickBot="1">
      <c r="A95" s="179" t="s">
        <v>7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1"/>
    </row>
    <row r="96" spans="1:12" ht="92.25" thickBot="1">
      <c r="A96" s="121">
        <v>23</v>
      </c>
      <c r="B96" s="124" t="s">
        <v>60</v>
      </c>
      <c r="C96" s="55">
        <v>200</v>
      </c>
      <c r="D96" s="56">
        <v>6.64</v>
      </c>
      <c r="E96" s="56">
        <v>7.59</v>
      </c>
      <c r="F96" s="56">
        <v>28.13</v>
      </c>
      <c r="G96" s="56">
        <v>204</v>
      </c>
      <c r="H96" s="56">
        <v>0.12</v>
      </c>
      <c r="I96" s="56">
        <v>0.08</v>
      </c>
      <c r="J96" s="56">
        <v>1.95</v>
      </c>
      <c r="K96" s="56">
        <v>198.46</v>
      </c>
      <c r="L96" s="56">
        <v>0.55</v>
      </c>
    </row>
    <row r="97" spans="1:12" ht="92.25" thickBot="1">
      <c r="A97" s="61">
        <v>2</v>
      </c>
      <c r="B97" s="62" t="s">
        <v>189</v>
      </c>
      <c r="C97" s="55">
        <v>180</v>
      </c>
      <c r="D97" s="56">
        <v>1.3</v>
      </c>
      <c r="E97" s="56">
        <v>1.3</v>
      </c>
      <c r="F97" s="56">
        <v>14</v>
      </c>
      <c r="G97" s="56">
        <v>92</v>
      </c>
      <c r="H97" s="56">
        <v>0.02</v>
      </c>
      <c r="I97" s="56">
        <v>0.02</v>
      </c>
      <c r="J97" s="56">
        <v>1</v>
      </c>
      <c r="K97" s="56">
        <v>108.24</v>
      </c>
      <c r="L97" s="56">
        <v>0.02</v>
      </c>
    </row>
    <row r="98" spans="1:12" ht="92.25" thickBot="1">
      <c r="A98" s="61">
        <v>3</v>
      </c>
      <c r="B98" s="62" t="s">
        <v>58</v>
      </c>
      <c r="C98" s="64" t="s">
        <v>232</v>
      </c>
      <c r="D98" s="58">
        <v>5.06</v>
      </c>
      <c r="E98" s="58">
        <v>7</v>
      </c>
      <c r="F98" s="58">
        <v>14.62</v>
      </c>
      <c r="G98" s="58">
        <v>145</v>
      </c>
      <c r="H98" s="58">
        <v>0.03</v>
      </c>
      <c r="I98" s="58">
        <v>0.03</v>
      </c>
      <c r="J98" s="58">
        <v>0.19</v>
      </c>
      <c r="K98" s="58">
        <v>126.6</v>
      </c>
      <c r="L98" s="58">
        <v>0.47</v>
      </c>
    </row>
    <row r="99" spans="1:12" ht="46.5" thickBot="1">
      <c r="A99" s="61"/>
      <c r="B99" s="62" t="s">
        <v>8</v>
      </c>
      <c r="C99" s="129"/>
      <c r="D99" s="58">
        <f>SUM(D96:D98)</f>
        <v>13</v>
      </c>
      <c r="E99" s="58">
        <f aca="true" t="shared" si="12" ref="E99:L99">SUM(E96+E97+E98)</f>
        <v>15.89</v>
      </c>
      <c r="F99" s="58">
        <f t="shared" si="12"/>
        <v>56.74999999999999</v>
      </c>
      <c r="G99" s="58">
        <f t="shared" si="12"/>
        <v>441</v>
      </c>
      <c r="H99" s="58">
        <f t="shared" si="12"/>
        <v>0.16999999999999998</v>
      </c>
      <c r="I99" s="58">
        <f t="shared" si="12"/>
        <v>0.13</v>
      </c>
      <c r="J99" s="58">
        <f t="shared" si="12"/>
        <v>3.14</v>
      </c>
      <c r="K99" s="58">
        <f t="shared" si="12"/>
        <v>433.29999999999995</v>
      </c>
      <c r="L99" s="58">
        <f t="shared" si="12"/>
        <v>1.04</v>
      </c>
    </row>
    <row r="100" spans="1:12" ht="46.5" thickBot="1">
      <c r="A100" s="179" t="s">
        <v>107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1"/>
    </row>
    <row r="101" spans="1:12" ht="46.5" thickBot="1">
      <c r="A101" s="61" t="s">
        <v>45</v>
      </c>
      <c r="B101" s="62" t="s">
        <v>108</v>
      </c>
      <c r="C101" s="63" t="s">
        <v>238</v>
      </c>
      <c r="D101" s="58">
        <v>0.18</v>
      </c>
      <c r="E101" s="58">
        <v>0.09</v>
      </c>
      <c r="F101" s="58">
        <v>9.09</v>
      </c>
      <c r="G101" s="58">
        <v>41.4</v>
      </c>
      <c r="H101" s="58">
        <v>0.01</v>
      </c>
      <c r="I101" s="58">
        <v>0.01</v>
      </c>
      <c r="J101" s="58">
        <v>1.8</v>
      </c>
      <c r="K101" s="58">
        <v>6.3</v>
      </c>
      <c r="L101" s="58">
        <v>0.18</v>
      </c>
    </row>
    <row r="102" spans="1:12" ht="54" thickBot="1">
      <c r="A102" s="61" t="s">
        <v>45</v>
      </c>
      <c r="B102" s="62" t="s">
        <v>256</v>
      </c>
      <c r="C102" s="55">
        <v>110</v>
      </c>
      <c r="D102" s="56">
        <v>0.99</v>
      </c>
      <c r="E102" s="56">
        <v>0.33</v>
      </c>
      <c r="F102" s="56">
        <v>13.86</v>
      </c>
      <c r="G102" s="56">
        <v>63.36</v>
      </c>
      <c r="H102" s="56">
        <v>0.02</v>
      </c>
      <c r="I102" s="56">
        <v>0.04</v>
      </c>
      <c r="J102" s="56">
        <v>6.6</v>
      </c>
      <c r="K102" s="56">
        <v>5.28</v>
      </c>
      <c r="L102" s="56">
        <v>0.39</v>
      </c>
    </row>
    <row r="103" spans="1:12" ht="46.5" thickBot="1">
      <c r="A103" s="61"/>
      <c r="B103" s="62" t="s">
        <v>8</v>
      </c>
      <c r="C103" s="64"/>
      <c r="D103" s="58">
        <f>SUM(D101:D102)</f>
        <v>1.17</v>
      </c>
      <c r="E103" s="58">
        <f aca="true" t="shared" si="13" ref="E103:L103">SUM(E101:E102)</f>
        <v>0.42000000000000004</v>
      </c>
      <c r="F103" s="58">
        <f t="shared" si="13"/>
        <v>22.95</v>
      </c>
      <c r="G103" s="58">
        <f t="shared" si="13"/>
        <v>104.75999999999999</v>
      </c>
      <c r="H103" s="58">
        <f t="shared" si="13"/>
        <v>0.03</v>
      </c>
      <c r="I103" s="58">
        <f t="shared" si="13"/>
        <v>0.05</v>
      </c>
      <c r="J103" s="58">
        <f t="shared" si="13"/>
        <v>8.4</v>
      </c>
      <c r="K103" s="58">
        <f t="shared" si="13"/>
        <v>11.58</v>
      </c>
      <c r="L103" s="58">
        <f t="shared" si="13"/>
        <v>0.5700000000000001</v>
      </c>
    </row>
    <row r="104" spans="1:12" ht="46.5" thickBot="1">
      <c r="A104" s="182" t="s">
        <v>40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50"/>
    </row>
    <row r="105" spans="1:12" ht="138" thickBot="1">
      <c r="A105" s="61">
        <v>24</v>
      </c>
      <c r="B105" s="62" t="s">
        <v>142</v>
      </c>
      <c r="C105" s="63" t="s">
        <v>51</v>
      </c>
      <c r="D105" s="58">
        <v>1.57</v>
      </c>
      <c r="E105" s="58">
        <v>5.08</v>
      </c>
      <c r="F105" s="58">
        <v>3.9</v>
      </c>
      <c r="G105" s="58">
        <v>67</v>
      </c>
      <c r="H105" s="58">
        <v>0.05</v>
      </c>
      <c r="I105" s="58">
        <v>0.04</v>
      </c>
      <c r="J105" s="58">
        <v>3.2</v>
      </c>
      <c r="K105" s="58">
        <v>12.3</v>
      </c>
      <c r="L105" s="58">
        <v>0.4</v>
      </c>
    </row>
    <row r="106" spans="1:12" ht="92.25" thickBot="1">
      <c r="A106" s="61">
        <v>34</v>
      </c>
      <c r="B106" s="62" t="s">
        <v>56</v>
      </c>
      <c r="C106" s="63" t="s">
        <v>156</v>
      </c>
      <c r="D106" s="58">
        <v>3.68</v>
      </c>
      <c r="E106" s="58">
        <v>7.07</v>
      </c>
      <c r="F106" s="58">
        <v>8.58</v>
      </c>
      <c r="G106" s="58">
        <v>118</v>
      </c>
      <c r="H106" s="58">
        <v>0.06</v>
      </c>
      <c r="I106" s="58">
        <v>0.04</v>
      </c>
      <c r="J106" s="58">
        <v>19.41</v>
      </c>
      <c r="K106" s="58">
        <v>46.81</v>
      </c>
      <c r="L106" s="58">
        <v>0.85</v>
      </c>
    </row>
    <row r="107" spans="1:12" ht="92.25" thickBot="1">
      <c r="A107" s="121">
        <v>40</v>
      </c>
      <c r="B107" s="62" t="s">
        <v>188</v>
      </c>
      <c r="C107" s="64" t="s">
        <v>228</v>
      </c>
      <c r="D107" s="58">
        <v>12.2</v>
      </c>
      <c r="E107" s="58">
        <v>6.5</v>
      </c>
      <c r="F107" s="58">
        <v>55.2</v>
      </c>
      <c r="G107" s="58">
        <v>138.2</v>
      </c>
      <c r="H107" s="58">
        <v>0.11</v>
      </c>
      <c r="I107" s="58">
        <v>0.11</v>
      </c>
      <c r="J107" s="58">
        <v>2.23</v>
      </c>
      <c r="K107" s="58">
        <v>55.83</v>
      </c>
      <c r="L107" s="58">
        <v>1.07</v>
      </c>
    </row>
    <row r="108" spans="1:12" ht="46.5" thickBot="1">
      <c r="A108" s="121">
        <v>59</v>
      </c>
      <c r="B108" s="62" t="s">
        <v>186</v>
      </c>
      <c r="C108" s="55">
        <v>180</v>
      </c>
      <c r="D108" s="58">
        <v>4.63</v>
      </c>
      <c r="E108" s="58">
        <v>8.4</v>
      </c>
      <c r="F108" s="58">
        <v>30.72</v>
      </c>
      <c r="G108" s="58">
        <v>254.4</v>
      </c>
      <c r="H108" s="58">
        <v>0.05</v>
      </c>
      <c r="I108" s="58">
        <v>0.02</v>
      </c>
      <c r="J108" s="58">
        <v>7.14</v>
      </c>
      <c r="K108" s="58">
        <v>5.8</v>
      </c>
      <c r="L108" s="58">
        <v>1.02</v>
      </c>
    </row>
    <row r="109" spans="1:12" ht="138" thickBot="1">
      <c r="A109" s="61">
        <v>87</v>
      </c>
      <c r="B109" s="62" t="s">
        <v>185</v>
      </c>
      <c r="C109" s="55">
        <v>225</v>
      </c>
      <c r="D109" s="58">
        <v>0</v>
      </c>
      <c r="E109" s="58">
        <v>0</v>
      </c>
      <c r="F109" s="58">
        <v>21.83</v>
      </c>
      <c r="G109" s="58">
        <v>84.38</v>
      </c>
      <c r="H109" s="58">
        <v>0.35</v>
      </c>
      <c r="I109" s="58">
        <v>0.38</v>
      </c>
      <c r="J109" s="58">
        <v>22</v>
      </c>
      <c r="K109" s="58">
        <v>0</v>
      </c>
      <c r="L109" s="58">
        <v>0</v>
      </c>
    </row>
    <row r="110" spans="1:12" ht="92.25" thickBot="1">
      <c r="A110" s="61" t="s">
        <v>45</v>
      </c>
      <c r="B110" s="62" t="s">
        <v>114</v>
      </c>
      <c r="C110" s="55">
        <v>35</v>
      </c>
      <c r="D110" s="58">
        <v>2.8</v>
      </c>
      <c r="E110" s="58">
        <v>0.35</v>
      </c>
      <c r="F110" s="58">
        <v>19.87</v>
      </c>
      <c r="G110" s="58">
        <v>82.6</v>
      </c>
      <c r="H110" s="58">
        <v>0.05</v>
      </c>
      <c r="I110" s="58">
        <v>0.02</v>
      </c>
      <c r="J110" s="58">
        <v>0</v>
      </c>
      <c r="K110" s="58">
        <v>8.4</v>
      </c>
      <c r="L110" s="58">
        <v>0.7</v>
      </c>
    </row>
    <row r="111" spans="1:12" ht="92.25" thickBot="1">
      <c r="A111" s="61" t="s">
        <v>45</v>
      </c>
      <c r="B111" s="62" t="s">
        <v>144</v>
      </c>
      <c r="C111" s="55">
        <v>45</v>
      </c>
      <c r="D111" s="58">
        <v>2.52</v>
      </c>
      <c r="E111" s="58">
        <v>0.54</v>
      </c>
      <c r="F111" s="58">
        <v>22.23</v>
      </c>
      <c r="G111" s="58">
        <v>104.4</v>
      </c>
      <c r="H111" s="58">
        <v>0.05</v>
      </c>
      <c r="I111" s="58">
        <v>0.02</v>
      </c>
      <c r="J111" s="58">
        <v>0</v>
      </c>
      <c r="K111" s="58">
        <v>10.8</v>
      </c>
      <c r="L111" s="58">
        <v>1.44</v>
      </c>
    </row>
    <row r="112" spans="1:12" ht="46.5" thickBot="1">
      <c r="A112" s="61"/>
      <c r="B112" s="62" t="s">
        <v>8</v>
      </c>
      <c r="C112" s="55"/>
      <c r="D112" s="58">
        <f>SUM(D105:D111)</f>
        <v>27.4</v>
      </c>
      <c r="E112" s="58">
        <f aca="true" t="shared" si="14" ref="E112:L112">SUM(E105:E111)</f>
        <v>27.939999999999998</v>
      </c>
      <c r="F112" s="58">
        <f t="shared" si="14"/>
        <v>162.32999999999998</v>
      </c>
      <c r="G112" s="58">
        <f t="shared" si="14"/>
        <v>848.98</v>
      </c>
      <c r="H112" s="58">
        <f t="shared" si="14"/>
        <v>0.7200000000000001</v>
      </c>
      <c r="I112" s="58">
        <f t="shared" si="14"/>
        <v>0.63</v>
      </c>
      <c r="J112" s="58">
        <f t="shared" si="14"/>
        <v>53.980000000000004</v>
      </c>
      <c r="K112" s="58">
        <f t="shared" si="14"/>
        <v>139.94</v>
      </c>
      <c r="L112" s="58">
        <f t="shared" si="14"/>
        <v>5.48</v>
      </c>
    </row>
    <row r="113" spans="1:12" ht="46.5" thickBot="1">
      <c r="A113" s="182" t="s">
        <v>207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50"/>
    </row>
    <row r="114" spans="1:12" ht="46.5" thickBot="1">
      <c r="A114" s="61">
        <v>67</v>
      </c>
      <c r="B114" s="62" t="s">
        <v>62</v>
      </c>
      <c r="C114" s="138">
        <v>250</v>
      </c>
      <c r="D114" s="58">
        <v>5.3</v>
      </c>
      <c r="E114" s="58">
        <v>6.5</v>
      </c>
      <c r="F114" s="58">
        <v>25.3</v>
      </c>
      <c r="G114" s="58">
        <v>150.3</v>
      </c>
      <c r="H114" s="58">
        <v>0.14</v>
      </c>
      <c r="I114" s="122">
        <v>0.08</v>
      </c>
      <c r="J114" s="123">
        <v>12.05</v>
      </c>
      <c r="K114" s="58">
        <v>26.62</v>
      </c>
      <c r="L114" s="129">
        <v>1.2</v>
      </c>
    </row>
    <row r="115" spans="1:12" ht="46.5" thickBot="1">
      <c r="A115" s="121">
        <v>13</v>
      </c>
      <c r="B115" s="54" t="s">
        <v>9</v>
      </c>
      <c r="C115" s="63" t="s">
        <v>148</v>
      </c>
      <c r="D115" s="58">
        <v>0</v>
      </c>
      <c r="E115" s="58">
        <v>0</v>
      </c>
      <c r="F115" s="58">
        <v>11.98</v>
      </c>
      <c r="G115" s="58">
        <v>43</v>
      </c>
      <c r="H115" s="58">
        <v>0</v>
      </c>
      <c r="I115" s="58">
        <v>0</v>
      </c>
      <c r="J115" s="58">
        <v>0</v>
      </c>
      <c r="K115" s="58">
        <v>0.35</v>
      </c>
      <c r="L115" s="58">
        <v>0.06</v>
      </c>
    </row>
    <row r="116" spans="1:12" ht="92.25" thickBot="1">
      <c r="A116" s="61" t="s">
        <v>45</v>
      </c>
      <c r="B116" s="62" t="s">
        <v>114</v>
      </c>
      <c r="C116" s="55">
        <v>30</v>
      </c>
      <c r="D116" s="58">
        <v>2.4</v>
      </c>
      <c r="E116" s="58">
        <v>0.3</v>
      </c>
      <c r="F116" s="58">
        <v>14.46</v>
      </c>
      <c r="G116" s="58">
        <v>70.8</v>
      </c>
      <c r="H116" s="58">
        <v>0.05</v>
      </c>
      <c r="I116" s="58">
        <v>0.02</v>
      </c>
      <c r="J116" s="58">
        <v>0</v>
      </c>
      <c r="K116" s="58">
        <v>7.2</v>
      </c>
      <c r="L116" s="58">
        <v>0.6</v>
      </c>
    </row>
    <row r="117" spans="1:12" ht="46.5" thickBot="1">
      <c r="A117" s="61">
        <v>21</v>
      </c>
      <c r="B117" s="125" t="s">
        <v>38</v>
      </c>
      <c r="C117" s="64" t="s">
        <v>34</v>
      </c>
      <c r="D117" s="56">
        <v>4.35</v>
      </c>
      <c r="E117" s="56">
        <v>4.8</v>
      </c>
      <c r="F117" s="56">
        <v>6</v>
      </c>
      <c r="G117" s="56">
        <v>88.5</v>
      </c>
      <c r="H117" s="56">
        <v>0.04</v>
      </c>
      <c r="I117" s="56">
        <v>0.26</v>
      </c>
      <c r="J117" s="56">
        <v>1.05</v>
      </c>
      <c r="K117" s="56">
        <v>180</v>
      </c>
      <c r="L117" s="56">
        <v>0.15</v>
      </c>
    </row>
    <row r="118" spans="1:12" ht="92.25" thickBot="1">
      <c r="A118" s="61">
        <v>77</v>
      </c>
      <c r="B118" s="54" t="s">
        <v>73</v>
      </c>
      <c r="C118" s="64" t="s">
        <v>160</v>
      </c>
      <c r="D118" s="56">
        <v>5.15</v>
      </c>
      <c r="E118" s="56">
        <v>9.86</v>
      </c>
      <c r="F118" s="56">
        <v>28.88</v>
      </c>
      <c r="G118" s="56">
        <v>186.9</v>
      </c>
      <c r="H118" s="56">
        <v>0.05</v>
      </c>
      <c r="I118" s="56">
        <v>0.06</v>
      </c>
      <c r="J118" s="56">
        <v>0.44</v>
      </c>
      <c r="K118" s="56">
        <v>101.22</v>
      </c>
      <c r="L118" s="56">
        <v>0.33</v>
      </c>
    </row>
    <row r="119" spans="1:12" ht="46.5" thickBot="1">
      <c r="A119" s="61"/>
      <c r="B119" s="62" t="s">
        <v>8</v>
      </c>
      <c r="C119" s="55"/>
      <c r="D119" s="58">
        <f>SUM(D114:D118)</f>
        <v>17.2</v>
      </c>
      <c r="E119" s="58">
        <f aca="true" t="shared" si="15" ref="E119:L119">SUM(E114:E118)</f>
        <v>21.46</v>
      </c>
      <c r="F119" s="58">
        <f t="shared" si="15"/>
        <v>86.62</v>
      </c>
      <c r="G119" s="58">
        <f t="shared" si="15"/>
        <v>539.5</v>
      </c>
      <c r="H119" s="58">
        <f t="shared" si="15"/>
        <v>0.28</v>
      </c>
      <c r="I119" s="58">
        <f t="shared" si="15"/>
        <v>0.42</v>
      </c>
      <c r="J119" s="58">
        <f t="shared" si="15"/>
        <v>13.540000000000001</v>
      </c>
      <c r="K119" s="58">
        <f t="shared" si="15"/>
        <v>315.39</v>
      </c>
      <c r="L119" s="58">
        <f t="shared" si="15"/>
        <v>2.34</v>
      </c>
    </row>
    <row r="120" spans="1:12" ht="53.25" thickBot="1">
      <c r="A120" s="61"/>
      <c r="B120" s="62"/>
      <c r="C120" s="64"/>
      <c r="D120" s="111" t="s">
        <v>1</v>
      </c>
      <c r="E120" s="112" t="s">
        <v>2</v>
      </c>
      <c r="F120" s="112" t="s">
        <v>3</v>
      </c>
      <c r="G120" s="126" t="s">
        <v>4</v>
      </c>
      <c r="H120" s="113" t="s">
        <v>251</v>
      </c>
      <c r="I120" s="113" t="s">
        <v>252</v>
      </c>
      <c r="J120" s="112" t="s">
        <v>6</v>
      </c>
      <c r="K120" s="112" t="s">
        <v>31</v>
      </c>
      <c r="L120" s="112" t="s">
        <v>5</v>
      </c>
    </row>
    <row r="121" spans="1:12" ht="46.5" thickBot="1">
      <c r="A121" s="61"/>
      <c r="B121" s="127" t="s">
        <v>12</v>
      </c>
      <c r="C121" s="64"/>
      <c r="D121" s="58">
        <f aca="true" t="shared" si="16" ref="D121:L121">SUM(D99+D103+D112+D119)</f>
        <v>58.769999999999996</v>
      </c>
      <c r="E121" s="58">
        <f t="shared" si="16"/>
        <v>65.71000000000001</v>
      </c>
      <c r="F121" s="58">
        <f t="shared" si="16"/>
        <v>328.65</v>
      </c>
      <c r="G121" s="58">
        <f t="shared" si="16"/>
        <v>1934.24</v>
      </c>
      <c r="H121" s="58">
        <f t="shared" si="16"/>
        <v>1.2000000000000002</v>
      </c>
      <c r="I121" s="58">
        <f t="shared" si="16"/>
        <v>1.23</v>
      </c>
      <c r="J121" s="58">
        <f t="shared" si="16"/>
        <v>79.06000000000002</v>
      </c>
      <c r="K121" s="58">
        <f t="shared" si="16"/>
        <v>900.2099999999999</v>
      </c>
      <c r="L121" s="58">
        <f t="shared" si="16"/>
        <v>9.43</v>
      </c>
    </row>
    <row r="122" spans="1:12" ht="46.5" thickBot="1">
      <c r="A122" s="61"/>
      <c r="B122" s="127" t="s">
        <v>13</v>
      </c>
      <c r="C122" s="64"/>
      <c r="D122" s="58">
        <v>51.3</v>
      </c>
      <c r="E122" s="58">
        <v>57</v>
      </c>
      <c r="F122" s="58">
        <v>247.95</v>
      </c>
      <c r="G122" s="58">
        <v>1710</v>
      </c>
      <c r="H122" s="58">
        <v>0.86</v>
      </c>
      <c r="I122" s="58">
        <v>0.95</v>
      </c>
      <c r="J122" s="58">
        <v>47.5</v>
      </c>
      <c r="K122" s="58">
        <v>855</v>
      </c>
      <c r="L122" s="58">
        <v>9.5</v>
      </c>
    </row>
    <row r="123" spans="1:12" ht="136.5" thickBot="1">
      <c r="A123" s="115"/>
      <c r="B123" s="128" t="s">
        <v>14</v>
      </c>
      <c r="C123" s="112"/>
      <c r="D123" s="129">
        <f>D121*100/D122</f>
        <v>114.56140350877193</v>
      </c>
      <c r="E123" s="129">
        <f aca="true" t="shared" si="17" ref="E123:L123">E121*100/E122</f>
        <v>115.28070175438599</v>
      </c>
      <c r="F123" s="129">
        <f t="shared" si="17"/>
        <v>132.5468844525106</v>
      </c>
      <c r="G123" s="129">
        <f t="shared" si="17"/>
        <v>113.11345029239766</v>
      </c>
      <c r="H123" s="129">
        <f t="shared" si="17"/>
        <v>139.53488372093025</v>
      </c>
      <c r="I123" s="129">
        <f t="shared" si="17"/>
        <v>129.47368421052633</v>
      </c>
      <c r="J123" s="129">
        <f t="shared" si="17"/>
        <v>166.44210526315794</v>
      </c>
      <c r="K123" s="129">
        <f t="shared" si="17"/>
        <v>105.28771929824559</v>
      </c>
      <c r="L123" s="129">
        <f t="shared" si="17"/>
        <v>99.26315789473684</v>
      </c>
    </row>
    <row r="124" spans="1:12" ht="45.75">
      <c r="A124" s="130"/>
      <c r="C124" s="100"/>
      <c r="E124" s="132"/>
      <c r="F124" s="132"/>
      <c r="G124" s="132"/>
      <c r="H124" s="132"/>
      <c r="I124" s="132"/>
      <c r="J124" s="132"/>
      <c r="K124" s="132"/>
      <c r="L124" s="132"/>
    </row>
    <row r="125" spans="1:12" ht="45.75">
      <c r="A125" s="130"/>
      <c r="B125" s="100" t="s">
        <v>182</v>
      </c>
      <c r="C125" s="100"/>
      <c r="E125" s="132"/>
      <c r="F125" s="132"/>
      <c r="G125" s="132"/>
      <c r="H125" s="132"/>
      <c r="I125" s="132"/>
      <c r="J125" s="132"/>
      <c r="K125" s="132"/>
      <c r="L125" s="132"/>
    </row>
    <row r="126" spans="1:12" ht="53.25">
      <c r="A126" s="130"/>
      <c r="B126" s="100" t="s">
        <v>254</v>
      </c>
      <c r="L126" s="132"/>
    </row>
    <row r="127" spans="1:12" ht="45.75">
      <c r="A127" s="130"/>
      <c r="B127" s="100" t="s">
        <v>180</v>
      </c>
      <c r="L127" s="132"/>
    </row>
    <row r="128" spans="1:12" ht="45.75">
      <c r="A128" s="130"/>
      <c r="B128" s="100" t="s">
        <v>179</v>
      </c>
      <c r="L128" s="132"/>
    </row>
    <row r="129" spans="1:12" ht="45.75">
      <c r="A129" s="130"/>
      <c r="L129" s="132"/>
    </row>
    <row r="130" spans="1:12" ht="45.75">
      <c r="A130" s="174" t="s">
        <v>104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</row>
    <row r="131" spans="1:12" ht="45.75">
      <c r="A131" s="174" t="s">
        <v>98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</row>
    <row r="132" spans="1:12" ht="45.75">
      <c r="A132" s="175" t="s">
        <v>99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</row>
    <row r="133" spans="1:12" ht="46.5" thickBot="1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</row>
    <row r="134" spans="1:12" ht="46.5" thickBot="1">
      <c r="A134" s="177" t="s">
        <v>39</v>
      </c>
      <c r="B134" s="152" t="s">
        <v>100</v>
      </c>
      <c r="C134" s="104" t="s">
        <v>27</v>
      </c>
      <c r="D134" s="179" t="s">
        <v>28</v>
      </c>
      <c r="E134" s="180"/>
      <c r="F134" s="181"/>
      <c r="G134" s="152" t="s">
        <v>101</v>
      </c>
      <c r="H134" s="179" t="s">
        <v>29</v>
      </c>
      <c r="I134" s="180"/>
      <c r="J134" s="181"/>
      <c r="K134" s="179" t="s">
        <v>30</v>
      </c>
      <c r="L134" s="181"/>
    </row>
    <row r="135" spans="1:12" ht="53.25" thickBot="1">
      <c r="A135" s="178"/>
      <c r="B135" s="103"/>
      <c r="C135" s="105"/>
      <c r="D135" s="111" t="s">
        <v>1</v>
      </c>
      <c r="E135" s="112" t="s">
        <v>2</v>
      </c>
      <c r="F135" s="112" t="s">
        <v>3</v>
      </c>
      <c r="G135" s="103"/>
      <c r="H135" s="113" t="s">
        <v>251</v>
      </c>
      <c r="I135" s="135" t="s">
        <v>252</v>
      </c>
      <c r="J135" s="112" t="s">
        <v>6</v>
      </c>
      <c r="K135" s="112" t="s">
        <v>31</v>
      </c>
      <c r="L135" s="112" t="s">
        <v>5</v>
      </c>
    </row>
    <row r="136" spans="1:12" ht="46.5" thickBot="1">
      <c r="A136" s="110">
        <v>1</v>
      </c>
      <c r="B136" s="116">
        <v>2</v>
      </c>
      <c r="C136" s="117">
        <v>3</v>
      </c>
      <c r="D136" s="136">
        <v>4</v>
      </c>
      <c r="E136" s="116">
        <v>5</v>
      </c>
      <c r="F136" s="116">
        <v>6</v>
      </c>
      <c r="G136" s="116">
        <v>7</v>
      </c>
      <c r="H136" s="137">
        <v>8</v>
      </c>
      <c r="I136" s="116">
        <v>9</v>
      </c>
      <c r="J136" s="116">
        <v>10</v>
      </c>
      <c r="K136" s="137">
        <v>11</v>
      </c>
      <c r="L136" s="116">
        <v>12</v>
      </c>
    </row>
    <row r="137" spans="1:12" ht="46.5" thickBot="1">
      <c r="A137" s="179" t="s">
        <v>7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1"/>
    </row>
    <row r="138" spans="1:12" ht="92.25" thickBot="1">
      <c r="A138" s="61">
        <v>32</v>
      </c>
      <c r="B138" s="133" t="s">
        <v>52</v>
      </c>
      <c r="C138" s="55">
        <v>200</v>
      </c>
      <c r="D138" s="56">
        <v>6.21</v>
      </c>
      <c r="E138" s="56">
        <v>7.47</v>
      </c>
      <c r="F138" s="56">
        <v>25.09</v>
      </c>
      <c r="G138" s="56">
        <v>192</v>
      </c>
      <c r="H138" s="56">
        <v>0.08</v>
      </c>
      <c r="I138" s="56">
        <v>0.06</v>
      </c>
      <c r="J138" s="56">
        <v>1.95</v>
      </c>
      <c r="K138" s="56">
        <v>182.62</v>
      </c>
      <c r="L138" s="56">
        <v>0.31</v>
      </c>
    </row>
    <row r="139" spans="1:12" ht="92.25" thickBot="1">
      <c r="A139" s="61">
        <v>102</v>
      </c>
      <c r="B139" s="62" t="s">
        <v>236</v>
      </c>
      <c r="C139" s="55">
        <v>180</v>
      </c>
      <c r="D139" s="58">
        <v>1.8</v>
      </c>
      <c r="E139" s="58">
        <v>2.3</v>
      </c>
      <c r="F139" s="58">
        <v>17</v>
      </c>
      <c r="G139" s="58">
        <v>100</v>
      </c>
      <c r="H139" s="123">
        <v>0.02</v>
      </c>
      <c r="I139" s="123">
        <v>0.02</v>
      </c>
      <c r="J139" s="123">
        <v>0.34</v>
      </c>
      <c r="K139" s="58">
        <v>109.04</v>
      </c>
      <c r="L139" s="58">
        <v>0.34</v>
      </c>
    </row>
    <row r="140" spans="1:12" ht="46.5" thickBot="1">
      <c r="A140" s="61">
        <v>16</v>
      </c>
      <c r="B140" s="62" t="s">
        <v>54</v>
      </c>
      <c r="C140" s="63" t="s">
        <v>205</v>
      </c>
      <c r="D140" s="58">
        <v>2.3</v>
      </c>
      <c r="E140" s="58">
        <v>4.36</v>
      </c>
      <c r="F140" s="58">
        <v>14.62</v>
      </c>
      <c r="G140" s="58">
        <v>108</v>
      </c>
      <c r="H140" s="58">
        <v>0.03</v>
      </c>
      <c r="I140" s="58">
        <v>0.03</v>
      </c>
      <c r="J140" s="58">
        <v>0</v>
      </c>
      <c r="K140" s="58">
        <v>6.6</v>
      </c>
      <c r="L140" s="58">
        <v>0.34</v>
      </c>
    </row>
    <row r="141" spans="1:12" ht="46.5" thickBot="1">
      <c r="A141" s="61"/>
      <c r="B141" s="62" t="s">
        <v>8</v>
      </c>
      <c r="C141" s="129"/>
      <c r="D141" s="58">
        <f aca="true" t="shared" si="18" ref="D141:L141">SUM(D138:D140)</f>
        <v>10.309999999999999</v>
      </c>
      <c r="E141" s="58">
        <f t="shared" si="18"/>
        <v>14.129999999999999</v>
      </c>
      <c r="F141" s="58">
        <f t="shared" si="18"/>
        <v>56.71</v>
      </c>
      <c r="G141" s="58">
        <f t="shared" si="18"/>
        <v>400</v>
      </c>
      <c r="H141" s="58">
        <f t="shared" si="18"/>
        <v>0.13</v>
      </c>
      <c r="I141" s="58">
        <f t="shared" si="18"/>
        <v>0.11</v>
      </c>
      <c r="J141" s="58">
        <f t="shared" si="18"/>
        <v>2.29</v>
      </c>
      <c r="K141" s="58">
        <f t="shared" si="18"/>
        <v>298.26000000000005</v>
      </c>
      <c r="L141" s="58">
        <f t="shared" si="18"/>
        <v>0.99</v>
      </c>
    </row>
    <row r="142" spans="1:12" ht="46.5" thickBot="1">
      <c r="A142" s="179" t="s">
        <v>107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1"/>
    </row>
    <row r="143" spans="1:12" ht="46.5" thickBot="1">
      <c r="A143" s="61" t="s">
        <v>45</v>
      </c>
      <c r="B143" s="62" t="s">
        <v>108</v>
      </c>
      <c r="C143" s="63" t="s">
        <v>238</v>
      </c>
      <c r="D143" s="58">
        <v>0.18</v>
      </c>
      <c r="E143" s="58">
        <v>0.09</v>
      </c>
      <c r="F143" s="58">
        <v>9.09</v>
      </c>
      <c r="G143" s="58">
        <v>41.4</v>
      </c>
      <c r="H143" s="58">
        <v>0.01</v>
      </c>
      <c r="I143" s="58">
        <v>0.01</v>
      </c>
      <c r="J143" s="58">
        <v>1.8</v>
      </c>
      <c r="K143" s="58">
        <v>6.3</v>
      </c>
      <c r="L143" s="58">
        <v>0.18</v>
      </c>
    </row>
    <row r="144" spans="1:12" ht="54" thickBot="1">
      <c r="A144" s="61" t="s">
        <v>45</v>
      </c>
      <c r="B144" s="62" t="s">
        <v>253</v>
      </c>
      <c r="C144" s="64" t="s">
        <v>219</v>
      </c>
      <c r="D144" s="58">
        <v>0.39</v>
      </c>
      <c r="E144" s="58">
        <v>0.39</v>
      </c>
      <c r="F144" s="58">
        <v>9.48</v>
      </c>
      <c r="G144" s="58">
        <v>45.49</v>
      </c>
      <c r="H144" s="58">
        <v>0.04</v>
      </c>
      <c r="I144" s="58">
        <v>0.02</v>
      </c>
      <c r="J144" s="58">
        <v>9.68</v>
      </c>
      <c r="K144" s="58">
        <v>15.49</v>
      </c>
      <c r="L144" s="58">
        <v>2.14</v>
      </c>
    </row>
    <row r="145" spans="1:12" ht="46.5" thickBot="1">
      <c r="A145" s="61"/>
      <c r="B145" s="62" t="s">
        <v>8</v>
      </c>
      <c r="C145" s="64"/>
      <c r="D145" s="58">
        <f>SUM(D143:D144)</f>
        <v>0.5700000000000001</v>
      </c>
      <c r="E145" s="58">
        <f aca="true" t="shared" si="19" ref="E145:L145">SUM(E143:E144)</f>
        <v>0.48</v>
      </c>
      <c r="F145" s="58">
        <f t="shared" si="19"/>
        <v>18.57</v>
      </c>
      <c r="G145" s="58">
        <f t="shared" si="19"/>
        <v>86.89</v>
      </c>
      <c r="H145" s="58">
        <f t="shared" si="19"/>
        <v>0.05</v>
      </c>
      <c r="I145" s="58">
        <f t="shared" si="19"/>
        <v>0.03</v>
      </c>
      <c r="J145" s="58">
        <f t="shared" si="19"/>
        <v>11.48</v>
      </c>
      <c r="K145" s="58">
        <f t="shared" si="19"/>
        <v>21.79</v>
      </c>
      <c r="L145" s="58">
        <f t="shared" si="19"/>
        <v>2.3200000000000003</v>
      </c>
    </row>
    <row r="146" spans="1:12" ht="46.5" thickBot="1">
      <c r="A146" s="182" t="s">
        <v>40</v>
      </c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50"/>
    </row>
    <row r="147" spans="1:12" ht="138" thickBot="1">
      <c r="A147" s="121">
        <v>93</v>
      </c>
      <c r="B147" s="62" t="s">
        <v>208</v>
      </c>
      <c r="C147" s="64" t="s">
        <v>51</v>
      </c>
      <c r="D147" s="58">
        <v>0.72</v>
      </c>
      <c r="E147" s="58">
        <v>2.83</v>
      </c>
      <c r="F147" s="58">
        <v>4.63</v>
      </c>
      <c r="G147" s="58">
        <v>46.8</v>
      </c>
      <c r="H147" s="58">
        <v>0.03</v>
      </c>
      <c r="I147" s="58">
        <v>0.03</v>
      </c>
      <c r="J147" s="58">
        <v>5.76</v>
      </c>
      <c r="K147" s="58">
        <v>19.2</v>
      </c>
      <c r="L147" s="58">
        <v>0.25</v>
      </c>
    </row>
    <row r="148" spans="1:12" ht="92.25" thickBot="1">
      <c r="A148" s="61">
        <v>5</v>
      </c>
      <c r="B148" s="62" t="s">
        <v>63</v>
      </c>
      <c r="C148" s="64" t="s">
        <v>156</v>
      </c>
      <c r="D148" s="58">
        <v>3.52</v>
      </c>
      <c r="E148" s="58">
        <v>5.98</v>
      </c>
      <c r="F148" s="58">
        <v>9.78</v>
      </c>
      <c r="G148" s="58">
        <v>117</v>
      </c>
      <c r="H148" s="58">
        <v>0.05</v>
      </c>
      <c r="I148" s="58">
        <v>0.03</v>
      </c>
      <c r="J148" s="58">
        <v>9.74</v>
      </c>
      <c r="K148" s="58">
        <v>43.14</v>
      </c>
      <c r="L148" s="58">
        <v>1.09</v>
      </c>
    </row>
    <row r="149" spans="1:12" ht="46.5" thickBot="1">
      <c r="A149" s="61">
        <v>35</v>
      </c>
      <c r="B149" s="62" t="s">
        <v>42</v>
      </c>
      <c r="C149" s="64" t="s">
        <v>146</v>
      </c>
      <c r="D149" s="58">
        <v>5.25</v>
      </c>
      <c r="E149" s="58">
        <v>6.65</v>
      </c>
      <c r="F149" s="58">
        <v>2.16</v>
      </c>
      <c r="G149" s="58">
        <v>144.2</v>
      </c>
      <c r="H149" s="58">
        <v>0.04</v>
      </c>
      <c r="I149" s="58">
        <v>0.02</v>
      </c>
      <c r="J149" s="58">
        <v>0.7</v>
      </c>
      <c r="K149" s="58">
        <v>3.32</v>
      </c>
      <c r="L149" s="58">
        <v>0.16</v>
      </c>
    </row>
    <row r="150" spans="1:12" ht="92.25" thickBot="1">
      <c r="A150" s="61">
        <v>30</v>
      </c>
      <c r="B150" s="62" t="s">
        <v>136</v>
      </c>
      <c r="C150" s="55">
        <v>150</v>
      </c>
      <c r="D150" s="58">
        <v>5.34</v>
      </c>
      <c r="E150" s="58">
        <v>6.96</v>
      </c>
      <c r="F150" s="58">
        <v>31.45</v>
      </c>
      <c r="G150" s="58">
        <v>203</v>
      </c>
      <c r="H150" s="58">
        <v>0.06</v>
      </c>
      <c r="I150" s="58">
        <v>0.02</v>
      </c>
      <c r="J150" s="58">
        <v>5.95</v>
      </c>
      <c r="K150" s="58">
        <v>14.63</v>
      </c>
      <c r="L150" s="58">
        <v>0.07</v>
      </c>
    </row>
    <row r="151" spans="1:12" ht="46.5" thickBot="1">
      <c r="A151" s="61">
        <v>20</v>
      </c>
      <c r="B151" s="62" t="s">
        <v>43</v>
      </c>
      <c r="C151" s="55">
        <v>200</v>
      </c>
      <c r="D151" s="58">
        <v>0</v>
      </c>
      <c r="E151" s="58">
        <v>0</v>
      </c>
      <c r="F151" s="58">
        <v>18</v>
      </c>
      <c r="G151" s="58">
        <v>60</v>
      </c>
      <c r="H151" s="58">
        <v>0</v>
      </c>
      <c r="I151" s="58">
        <v>0</v>
      </c>
      <c r="J151" s="58">
        <v>0</v>
      </c>
      <c r="K151" s="58">
        <v>0.48</v>
      </c>
      <c r="L151" s="58">
        <v>0.07</v>
      </c>
    </row>
    <row r="152" spans="1:12" ht="92.25" thickBot="1">
      <c r="A152" s="61" t="s">
        <v>45</v>
      </c>
      <c r="B152" s="62" t="s">
        <v>114</v>
      </c>
      <c r="C152" s="55">
        <v>35</v>
      </c>
      <c r="D152" s="58">
        <v>2.8</v>
      </c>
      <c r="E152" s="58">
        <v>0.35</v>
      </c>
      <c r="F152" s="58">
        <v>19.87</v>
      </c>
      <c r="G152" s="58">
        <v>82.6</v>
      </c>
      <c r="H152" s="58">
        <v>0.05</v>
      </c>
      <c r="I152" s="58">
        <v>0.02</v>
      </c>
      <c r="J152" s="58">
        <v>0</v>
      </c>
      <c r="K152" s="58">
        <v>8.4</v>
      </c>
      <c r="L152" s="58">
        <v>0.7</v>
      </c>
    </row>
    <row r="153" spans="1:12" ht="92.25" thickBot="1">
      <c r="A153" s="61" t="s">
        <v>45</v>
      </c>
      <c r="B153" s="62" t="s">
        <v>144</v>
      </c>
      <c r="C153" s="55">
        <v>45</v>
      </c>
      <c r="D153" s="58">
        <v>2.52</v>
      </c>
      <c r="E153" s="58">
        <v>0.54</v>
      </c>
      <c r="F153" s="58">
        <v>22.23</v>
      </c>
      <c r="G153" s="58">
        <v>104.4</v>
      </c>
      <c r="H153" s="58">
        <v>0.05</v>
      </c>
      <c r="I153" s="58">
        <v>0.02</v>
      </c>
      <c r="J153" s="58">
        <v>0</v>
      </c>
      <c r="K153" s="58">
        <v>10.8</v>
      </c>
      <c r="L153" s="58">
        <v>1.44</v>
      </c>
    </row>
    <row r="154" spans="1:12" ht="46.5" thickBot="1">
      <c r="A154" s="61"/>
      <c r="B154" s="62" t="s">
        <v>8</v>
      </c>
      <c r="C154" s="55"/>
      <c r="D154" s="58">
        <f aca="true" t="shared" si="20" ref="D154:L154">SUM(D147:D153)</f>
        <v>20.15</v>
      </c>
      <c r="E154" s="58">
        <f t="shared" si="20"/>
        <v>23.310000000000002</v>
      </c>
      <c r="F154" s="58">
        <f t="shared" si="20"/>
        <v>108.12</v>
      </c>
      <c r="G154" s="58">
        <f t="shared" si="20"/>
        <v>758</v>
      </c>
      <c r="H154" s="58">
        <f t="shared" si="20"/>
        <v>0.27999999999999997</v>
      </c>
      <c r="I154" s="58">
        <f t="shared" si="20"/>
        <v>0.14</v>
      </c>
      <c r="J154" s="58">
        <f t="shared" si="20"/>
        <v>22.15</v>
      </c>
      <c r="K154" s="58">
        <f t="shared" si="20"/>
        <v>99.97</v>
      </c>
      <c r="L154" s="58">
        <f t="shared" si="20"/>
        <v>3.78</v>
      </c>
    </row>
    <row r="155" spans="1:12" ht="46.5" thickBot="1">
      <c r="A155" s="182" t="s">
        <v>207</v>
      </c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50"/>
    </row>
    <row r="156" spans="1:12" ht="46.5" thickBot="1">
      <c r="A156" s="61">
        <v>90</v>
      </c>
      <c r="B156" s="62" t="s">
        <v>197</v>
      </c>
      <c r="C156" s="55">
        <v>180</v>
      </c>
      <c r="D156" s="58">
        <v>2.67</v>
      </c>
      <c r="E156" s="58">
        <v>4.82</v>
      </c>
      <c r="F156" s="58">
        <v>12.19</v>
      </c>
      <c r="G156" s="58">
        <v>104</v>
      </c>
      <c r="H156" s="58">
        <v>0.06</v>
      </c>
      <c r="I156" s="58">
        <v>0.05</v>
      </c>
      <c r="J156" s="58">
        <v>17.2</v>
      </c>
      <c r="K156" s="58">
        <v>60.14</v>
      </c>
      <c r="L156" s="58">
        <v>1</v>
      </c>
    </row>
    <row r="157" spans="1:12" ht="46.5" thickBot="1">
      <c r="A157" s="53">
        <v>76</v>
      </c>
      <c r="B157" s="54" t="s">
        <v>61</v>
      </c>
      <c r="C157" s="64" t="s">
        <v>148</v>
      </c>
      <c r="D157" s="56">
        <v>0.8</v>
      </c>
      <c r="E157" s="56">
        <v>1</v>
      </c>
      <c r="F157" s="56">
        <v>13.5</v>
      </c>
      <c r="G157" s="56">
        <v>56</v>
      </c>
      <c r="H157" s="56">
        <v>0.02</v>
      </c>
      <c r="I157" s="56">
        <v>0.07</v>
      </c>
      <c r="J157" s="56">
        <v>0.65</v>
      </c>
      <c r="K157" s="56">
        <v>60.35</v>
      </c>
      <c r="L157" s="56">
        <v>0.09</v>
      </c>
    </row>
    <row r="158" spans="1:12" ht="92.25" thickBot="1">
      <c r="A158" s="61" t="s">
        <v>45</v>
      </c>
      <c r="B158" s="62" t="s">
        <v>114</v>
      </c>
      <c r="C158" s="55">
        <v>30</v>
      </c>
      <c r="D158" s="58">
        <v>2.4</v>
      </c>
      <c r="E158" s="58">
        <v>0.3</v>
      </c>
      <c r="F158" s="58">
        <v>14.46</v>
      </c>
      <c r="G158" s="58">
        <v>70.8</v>
      </c>
      <c r="H158" s="58">
        <v>0.05</v>
      </c>
      <c r="I158" s="58">
        <v>0.02</v>
      </c>
      <c r="J158" s="58">
        <v>0</v>
      </c>
      <c r="K158" s="58">
        <v>7.2</v>
      </c>
      <c r="L158" s="58">
        <v>0.6</v>
      </c>
    </row>
    <row r="159" spans="1:12" ht="46.5" thickBot="1">
      <c r="A159" s="61">
        <v>21</v>
      </c>
      <c r="B159" s="125" t="s">
        <v>38</v>
      </c>
      <c r="C159" s="64" t="s">
        <v>34</v>
      </c>
      <c r="D159" s="56">
        <v>4.35</v>
      </c>
      <c r="E159" s="56">
        <v>4.8</v>
      </c>
      <c r="F159" s="56">
        <v>6</v>
      </c>
      <c r="G159" s="56">
        <v>88.5</v>
      </c>
      <c r="H159" s="56">
        <v>0.04</v>
      </c>
      <c r="I159" s="56">
        <v>0.26</v>
      </c>
      <c r="J159" s="56">
        <v>1.05</v>
      </c>
      <c r="K159" s="56">
        <v>180</v>
      </c>
      <c r="L159" s="56">
        <v>0.15</v>
      </c>
    </row>
    <row r="160" spans="1:12" ht="138" thickBot="1">
      <c r="A160" s="61" t="s">
        <v>230</v>
      </c>
      <c r="B160" s="62" t="s">
        <v>229</v>
      </c>
      <c r="C160" s="63" t="s">
        <v>146</v>
      </c>
      <c r="D160" s="56">
        <v>6.3</v>
      </c>
      <c r="E160" s="56">
        <v>7.93</v>
      </c>
      <c r="F160" s="56">
        <v>21.35</v>
      </c>
      <c r="G160" s="56">
        <v>160</v>
      </c>
      <c r="H160" s="56">
        <v>0.06</v>
      </c>
      <c r="I160" s="56">
        <v>0.03</v>
      </c>
      <c r="J160" s="56">
        <v>0.13</v>
      </c>
      <c r="K160" s="56">
        <v>40.73</v>
      </c>
      <c r="L160" s="56">
        <v>0.43</v>
      </c>
    </row>
    <row r="161" spans="1:12" s="120" customFormat="1" ht="46.5" thickBot="1">
      <c r="A161" s="61"/>
      <c r="B161" s="62" t="s">
        <v>8</v>
      </c>
      <c r="C161" s="64"/>
      <c r="D161" s="58">
        <f>SUM(D156:D160)</f>
        <v>16.52</v>
      </c>
      <c r="E161" s="58">
        <f aca="true" t="shared" si="21" ref="E161:L161">SUM(E156:E160)</f>
        <v>18.85</v>
      </c>
      <c r="F161" s="58">
        <f t="shared" si="21"/>
        <v>67.5</v>
      </c>
      <c r="G161" s="58">
        <f t="shared" si="21"/>
        <v>479.3</v>
      </c>
      <c r="H161" s="58">
        <f t="shared" si="21"/>
        <v>0.23</v>
      </c>
      <c r="I161" s="58">
        <f t="shared" si="21"/>
        <v>0.43000000000000005</v>
      </c>
      <c r="J161" s="58">
        <f t="shared" si="21"/>
        <v>19.029999999999998</v>
      </c>
      <c r="K161" s="58">
        <f t="shared" si="21"/>
        <v>348.42</v>
      </c>
      <c r="L161" s="58">
        <f t="shared" si="21"/>
        <v>2.27</v>
      </c>
    </row>
    <row r="162" spans="1:12" ht="53.25" thickBot="1">
      <c r="A162" s="61"/>
      <c r="B162" s="62"/>
      <c r="C162" s="64"/>
      <c r="D162" s="111" t="s">
        <v>1</v>
      </c>
      <c r="E162" s="112" t="s">
        <v>2</v>
      </c>
      <c r="F162" s="112" t="s">
        <v>3</v>
      </c>
      <c r="G162" s="126" t="s">
        <v>4</v>
      </c>
      <c r="H162" s="113" t="s">
        <v>251</v>
      </c>
      <c r="I162" s="113" t="s">
        <v>252</v>
      </c>
      <c r="J162" s="112" t="s">
        <v>6</v>
      </c>
      <c r="K162" s="112" t="s">
        <v>31</v>
      </c>
      <c r="L162" s="112" t="s">
        <v>5</v>
      </c>
    </row>
    <row r="163" spans="1:12" ht="46.5" thickBot="1">
      <c r="A163" s="61"/>
      <c r="B163" s="127" t="s">
        <v>12</v>
      </c>
      <c r="C163" s="64"/>
      <c r="D163" s="58">
        <f aca="true" t="shared" si="22" ref="D163:L163">SUM(D141+D145+D154+D161)</f>
        <v>47.55</v>
      </c>
      <c r="E163" s="58">
        <f t="shared" si="22"/>
        <v>56.77</v>
      </c>
      <c r="F163" s="58">
        <f t="shared" si="22"/>
        <v>250.9</v>
      </c>
      <c r="G163" s="58">
        <f t="shared" si="22"/>
        <v>1724.1899999999998</v>
      </c>
      <c r="H163" s="58">
        <f t="shared" si="22"/>
        <v>0.69</v>
      </c>
      <c r="I163" s="58">
        <f t="shared" si="22"/>
        <v>0.7100000000000001</v>
      </c>
      <c r="J163" s="58">
        <f t="shared" si="22"/>
        <v>54.95</v>
      </c>
      <c r="K163" s="58">
        <f t="shared" si="22"/>
        <v>768.44</v>
      </c>
      <c r="L163" s="58">
        <f t="shared" si="22"/>
        <v>9.36</v>
      </c>
    </row>
    <row r="164" spans="1:12" ht="46.5" thickBot="1">
      <c r="A164" s="61"/>
      <c r="B164" s="127" t="s">
        <v>13</v>
      </c>
      <c r="C164" s="64"/>
      <c r="D164" s="58">
        <v>51.3</v>
      </c>
      <c r="E164" s="58">
        <v>57</v>
      </c>
      <c r="F164" s="58">
        <v>247.95</v>
      </c>
      <c r="G164" s="58">
        <v>1710</v>
      </c>
      <c r="H164" s="58">
        <v>0.86</v>
      </c>
      <c r="I164" s="58">
        <v>0.95</v>
      </c>
      <c r="J164" s="58">
        <v>47.5</v>
      </c>
      <c r="K164" s="58">
        <v>855</v>
      </c>
      <c r="L164" s="58">
        <v>9.5</v>
      </c>
    </row>
    <row r="165" spans="1:12" ht="136.5" thickBot="1">
      <c r="A165" s="115"/>
      <c r="B165" s="128" t="s">
        <v>14</v>
      </c>
      <c r="C165" s="112"/>
      <c r="D165" s="129">
        <f>D163*100/D164</f>
        <v>92.69005847953217</v>
      </c>
      <c r="E165" s="129">
        <f aca="true" t="shared" si="23" ref="E165:L165">E163*100/E164</f>
        <v>99.59649122807018</v>
      </c>
      <c r="F165" s="129">
        <f t="shared" si="23"/>
        <v>101.1897559991934</v>
      </c>
      <c r="G165" s="129">
        <f t="shared" si="23"/>
        <v>100.8298245614035</v>
      </c>
      <c r="H165" s="129">
        <f t="shared" si="23"/>
        <v>80.23255813953489</v>
      </c>
      <c r="I165" s="129">
        <f t="shared" si="23"/>
        <v>74.73684210526318</v>
      </c>
      <c r="J165" s="129">
        <f t="shared" si="23"/>
        <v>115.6842105263158</v>
      </c>
      <c r="K165" s="129">
        <f t="shared" si="23"/>
        <v>89.87602339181286</v>
      </c>
      <c r="L165" s="129">
        <f t="shared" si="23"/>
        <v>98.52631578947368</v>
      </c>
    </row>
    <row r="166" spans="1:12" ht="45.75">
      <c r="A166" s="130"/>
      <c r="B166" s="102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1:12" ht="45.75">
      <c r="A167" s="130"/>
      <c r="B167" s="100" t="s">
        <v>182</v>
      </c>
      <c r="C167" s="100"/>
      <c r="E167" s="132"/>
      <c r="F167" s="132"/>
      <c r="G167" s="132"/>
      <c r="H167" s="132"/>
      <c r="I167" s="132"/>
      <c r="J167" s="132"/>
      <c r="K167" s="132"/>
      <c r="L167" s="132"/>
    </row>
    <row r="168" spans="1:12" ht="53.25">
      <c r="A168" s="130"/>
      <c r="B168" s="100" t="s">
        <v>254</v>
      </c>
      <c r="L168" s="132"/>
    </row>
    <row r="169" spans="1:12" ht="45.75">
      <c r="A169" s="130"/>
      <c r="B169" s="100" t="s">
        <v>180</v>
      </c>
      <c r="L169" s="132"/>
    </row>
    <row r="170" spans="1:12" ht="45.75">
      <c r="A170" s="130"/>
      <c r="B170" s="100" t="s">
        <v>179</v>
      </c>
      <c r="L170" s="132"/>
    </row>
    <row r="171" spans="1:12" ht="45.75">
      <c r="A171" s="130"/>
      <c r="L171" s="132"/>
    </row>
    <row r="172" spans="1:12" ht="45.75">
      <c r="A172" s="174" t="s">
        <v>105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</row>
    <row r="173" spans="1:12" ht="45.75">
      <c r="A173" s="174" t="s">
        <v>98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</row>
    <row r="174" spans="1:12" ht="45.75">
      <c r="A174" s="175" t="s">
        <v>99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</row>
    <row r="175" spans="1:12" ht="46.5" thickBot="1">
      <c r="A175" s="176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</row>
    <row r="176" spans="1:12" ht="46.5" thickBot="1">
      <c r="A176" s="177" t="s">
        <v>39</v>
      </c>
      <c r="B176" s="152" t="s">
        <v>100</v>
      </c>
      <c r="C176" s="104" t="s">
        <v>27</v>
      </c>
      <c r="D176" s="179" t="s">
        <v>28</v>
      </c>
      <c r="E176" s="180"/>
      <c r="F176" s="181"/>
      <c r="G176" s="152" t="s">
        <v>101</v>
      </c>
      <c r="H176" s="179" t="s">
        <v>29</v>
      </c>
      <c r="I176" s="180"/>
      <c r="J176" s="181"/>
      <c r="K176" s="179" t="s">
        <v>30</v>
      </c>
      <c r="L176" s="181"/>
    </row>
    <row r="177" spans="1:12" ht="53.25" thickBot="1">
      <c r="A177" s="178"/>
      <c r="B177" s="103"/>
      <c r="C177" s="105"/>
      <c r="D177" s="111" t="s">
        <v>1</v>
      </c>
      <c r="E177" s="112" t="s">
        <v>2</v>
      </c>
      <c r="F177" s="112" t="s">
        <v>3</v>
      </c>
      <c r="G177" s="103"/>
      <c r="H177" s="113" t="s">
        <v>251</v>
      </c>
      <c r="I177" s="135" t="s">
        <v>252</v>
      </c>
      <c r="J177" s="112" t="s">
        <v>6</v>
      </c>
      <c r="K177" s="112" t="s">
        <v>31</v>
      </c>
      <c r="L177" s="112" t="s">
        <v>5</v>
      </c>
    </row>
    <row r="178" spans="1:12" ht="46.5" thickBot="1">
      <c r="A178" s="110">
        <v>1</v>
      </c>
      <c r="B178" s="116">
        <v>2</v>
      </c>
      <c r="C178" s="117">
        <v>3</v>
      </c>
      <c r="D178" s="136">
        <v>4</v>
      </c>
      <c r="E178" s="116">
        <v>5</v>
      </c>
      <c r="F178" s="116">
        <v>6</v>
      </c>
      <c r="G178" s="116">
        <v>7</v>
      </c>
      <c r="H178" s="137">
        <v>8</v>
      </c>
      <c r="I178" s="116">
        <v>9</v>
      </c>
      <c r="J178" s="116">
        <v>10</v>
      </c>
      <c r="K178" s="137">
        <v>11</v>
      </c>
      <c r="L178" s="116">
        <v>12</v>
      </c>
    </row>
    <row r="179" spans="1:12" ht="46.5" thickBot="1">
      <c r="A179" s="179" t="s">
        <v>7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1"/>
    </row>
    <row r="180" spans="1:12" s="139" customFormat="1" ht="92.25" thickBot="1">
      <c r="A180" s="121">
        <v>37</v>
      </c>
      <c r="B180" s="124" t="s">
        <v>53</v>
      </c>
      <c r="C180" s="55">
        <v>100</v>
      </c>
      <c r="D180" s="56">
        <v>9.01</v>
      </c>
      <c r="E180" s="56">
        <v>12.51</v>
      </c>
      <c r="F180" s="56">
        <v>2.24</v>
      </c>
      <c r="G180" s="56">
        <v>156.25</v>
      </c>
      <c r="H180" s="56">
        <v>0.05</v>
      </c>
      <c r="I180" s="56">
        <v>0.04</v>
      </c>
      <c r="J180" s="56">
        <v>0.49</v>
      </c>
      <c r="K180" s="56">
        <v>79.98</v>
      </c>
      <c r="L180" s="56">
        <v>1.2</v>
      </c>
    </row>
    <row r="181" spans="1:12" s="139" customFormat="1" ht="138" thickBot="1">
      <c r="A181" s="121">
        <v>38</v>
      </c>
      <c r="B181" s="62" t="s">
        <v>137</v>
      </c>
      <c r="C181" s="64" t="s">
        <v>51</v>
      </c>
      <c r="D181" s="58">
        <v>3</v>
      </c>
      <c r="E181" s="58">
        <v>0.12</v>
      </c>
      <c r="F181" s="58">
        <v>4.98</v>
      </c>
      <c r="G181" s="58">
        <v>33</v>
      </c>
      <c r="H181" s="58">
        <v>0.2</v>
      </c>
      <c r="I181" s="58">
        <v>0.11</v>
      </c>
      <c r="J181" s="58">
        <v>6</v>
      </c>
      <c r="K181" s="58">
        <v>15.6</v>
      </c>
      <c r="L181" s="58">
        <v>0.42</v>
      </c>
    </row>
    <row r="182" spans="1:12" ht="92.25" thickBot="1">
      <c r="A182" s="61">
        <v>2</v>
      </c>
      <c r="B182" s="62" t="s">
        <v>189</v>
      </c>
      <c r="C182" s="55">
        <v>180</v>
      </c>
      <c r="D182" s="56">
        <v>1.3</v>
      </c>
      <c r="E182" s="56">
        <v>1.3</v>
      </c>
      <c r="F182" s="56">
        <v>14</v>
      </c>
      <c r="G182" s="56">
        <v>92</v>
      </c>
      <c r="H182" s="56">
        <v>0.02</v>
      </c>
      <c r="I182" s="56">
        <v>0.02</v>
      </c>
      <c r="J182" s="56">
        <v>1</v>
      </c>
      <c r="K182" s="56">
        <v>108.24</v>
      </c>
      <c r="L182" s="56">
        <v>0.02</v>
      </c>
    </row>
    <row r="183" spans="1:12" ht="92.25" thickBot="1">
      <c r="A183" s="61">
        <v>3</v>
      </c>
      <c r="B183" s="62" t="s">
        <v>58</v>
      </c>
      <c r="C183" s="64" t="s">
        <v>232</v>
      </c>
      <c r="D183" s="58">
        <v>5.06</v>
      </c>
      <c r="E183" s="58">
        <v>7</v>
      </c>
      <c r="F183" s="58">
        <v>14.62</v>
      </c>
      <c r="G183" s="58">
        <v>145</v>
      </c>
      <c r="H183" s="58">
        <v>0.03</v>
      </c>
      <c r="I183" s="58">
        <v>0.03</v>
      </c>
      <c r="J183" s="58">
        <v>0.19</v>
      </c>
      <c r="K183" s="58">
        <v>126.6</v>
      </c>
      <c r="L183" s="58">
        <v>0.47</v>
      </c>
    </row>
    <row r="184" spans="1:12" ht="46.5" thickBot="1">
      <c r="A184" s="61"/>
      <c r="B184" s="62" t="s">
        <v>8</v>
      </c>
      <c r="C184" s="129"/>
      <c r="D184" s="58">
        <f>SUM(D180:D183)</f>
        <v>18.37</v>
      </c>
      <c r="E184" s="58">
        <f aca="true" t="shared" si="24" ref="E184:L184">SUM(E180:E183)</f>
        <v>20.93</v>
      </c>
      <c r="F184" s="58">
        <f t="shared" si="24"/>
        <v>35.839999999999996</v>
      </c>
      <c r="G184" s="58">
        <f t="shared" si="24"/>
        <v>426.25</v>
      </c>
      <c r="H184" s="58">
        <f t="shared" si="24"/>
        <v>0.30000000000000004</v>
      </c>
      <c r="I184" s="58">
        <f t="shared" si="24"/>
        <v>0.19999999999999998</v>
      </c>
      <c r="J184" s="58">
        <f t="shared" si="24"/>
        <v>7.680000000000001</v>
      </c>
      <c r="K184" s="58">
        <f t="shared" si="24"/>
        <v>330.41999999999996</v>
      </c>
      <c r="L184" s="58">
        <f t="shared" si="24"/>
        <v>2.11</v>
      </c>
    </row>
    <row r="185" spans="1:12" ht="46.5" thickBot="1">
      <c r="A185" s="179" t="s">
        <v>107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1"/>
    </row>
    <row r="186" spans="1:12" ht="46.5" thickBot="1">
      <c r="A186" s="61" t="s">
        <v>45</v>
      </c>
      <c r="B186" s="62" t="s">
        <v>108</v>
      </c>
      <c r="C186" s="63" t="s">
        <v>238</v>
      </c>
      <c r="D186" s="58">
        <v>0.18</v>
      </c>
      <c r="E186" s="58">
        <v>0.09</v>
      </c>
      <c r="F186" s="58">
        <v>9.09</v>
      </c>
      <c r="G186" s="58">
        <v>41.4</v>
      </c>
      <c r="H186" s="58">
        <v>0.01</v>
      </c>
      <c r="I186" s="58">
        <v>0.01</v>
      </c>
      <c r="J186" s="58">
        <v>1.8</v>
      </c>
      <c r="K186" s="58">
        <v>6.3</v>
      </c>
      <c r="L186" s="58">
        <v>0.18</v>
      </c>
    </row>
    <row r="187" spans="1:12" ht="54" thickBot="1">
      <c r="A187" s="61" t="s">
        <v>45</v>
      </c>
      <c r="B187" s="62" t="s">
        <v>255</v>
      </c>
      <c r="C187" s="55">
        <v>110</v>
      </c>
      <c r="D187" s="58">
        <v>0.39</v>
      </c>
      <c r="E187" s="58">
        <v>0.29</v>
      </c>
      <c r="F187" s="58">
        <v>10.19</v>
      </c>
      <c r="G187" s="58">
        <v>46.53</v>
      </c>
      <c r="H187" s="58">
        <v>0.02</v>
      </c>
      <c r="I187" s="58">
        <v>0.04</v>
      </c>
      <c r="J187" s="58">
        <v>4.95</v>
      </c>
      <c r="K187" s="58">
        <v>18.81</v>
      </c>
      <c r="L187" s="58">
        <v>2.27</v>
      </c>
    </row>
    <row r="188" spans="1:12" ht="46.5" thickBot="1">
      <c r="A188" s="61"/>
      <c r="B188" s="62" t="s">
        <v>8</v>
      </c>
      <c r="C188" s="64"/>
      <c r="D188" s="58">
        <f>SUM(D186:D187)</f>
        <v>0.5700000000000001</v>
      </c>
      <c r="E188" s="58">
        <f aca="true" t="shared" si="25" ref="E188:L188">SUM(E186:E187)</f>
        <v>0.38</v>
      </c>
      <c r="F188" s="58">
        <f t="shared" si="25"/>
        <v>19.28</v>
      </c>
      <c r="G188" s="58">
        <f t="shared" si="25"/>
        <v>87.93</v>
      </c>
      <c r="H188" s="58">
        <f t="shared" si="25"/>
        <v>0.03</v>
      </c>
      <c r="I188" s="58">
        <f t="shared" si="25"/>
        <v>0.05</v>
      </c>
      <c r="J188" s="58">
        <f t="shared" si="25"/>
        <v>6.75</v>
      </c>
      <c r="K188" s="58">
        <f t="shared" si="25"/>
        <v>25.11</v>
      </c>
      <c r="L188" s="58">
        <f t="shared" si="25"/>
        <v>2.45</v>
      </c>
    </row>
    <row r="189" spans="1:12" ht="46.5" thickBot="1">
      <c r="A189" s="182" t="s">
        <v>40</v>
      </c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50"/>
    </row>
    <row r="190" spans="1:12" ht="92.25" thickBot="1">
      <c r="A190" s="121">
        <v>69</v>
      </c>
      <c r="B190" s="62" t="s">
        <v>64</v>
      </c>
      <c r="C190" s="63" t="s">
        <v>51</v>
      </c>
      <c r="D190" s="58">
        <v>0.48</v>
      </c>
      <c r="E190" s="58">
        <v>0.06</v>
      </c>
      <c r="F190" s="58">
        <v>1.5</v>
      </c>
      <c r="G190" s="58">
        <v>8.4</v>
      </c>
      <c r="H190" s="58">
        <v>0.02</v>
      </c>
      <c r="I190" s="58">
        <v>0.02</v>
      </c>
      <c r="J190" s="58">
        <v>6</v>
      </c>
      <c r="K190" s="58">
        <v>13.8</v>
      </c>
      <c r="L190" s="58">
        <v>0.36</v>
      </c>
    </row>
    <row r="191" spans="1:12" ht="92.25" thickBot="1">
      <c r="A191" s="61">
        <v>47</v>
      </c>
      <c r="B191" s="62" t="s">
        <v>139</v>
      </c>
      <c r="C191" s="64" t="s">
        <v>218</v>
      </c>
      <c r="D191" s="58">
        <v>6.45</v>
      </c>
      <c r="E191" s="58">
        <v>5.16</v>
      </c>
      <c r="F191" s="58">
        <v>21.92</v>
      </c>
      <c r="G191" s="58">
        <v>148.87</v>
      </c>
      <c r="H191" s="58">
        <v>0.21</v>
      </c>
      <c r="I191" s="58">
        <v>0.08</v>
      </c>
      <c r="J191" s="58">
        <v>6.05</v>
      </c>
      <c r="K191" s="58">
        <v>35.62</v>
      </c>
      <c r="L191" s="58">
        <v>1.29</v>
      </c>
    </row>
    <row r="192" spans="1:12" ht="46.5" thickBot="1">
      <c r="A192" s="61">
        <v>71</v>
      </c>
      <c r="B192" s="62" t="s">
        <v>92</v>
      </c>
      <c r="C192" s="64" t="s">
        <v>146</v>
      </c>
      <c r="D192" s="58">
        <v>5.75</v>
      </c>
      <c r="E192" s="58">
        <v>4.45</v>
      </c>
      <c r="F192" s="58">
        <v>4.19</v>
      </c>
      <c r="G192" s="58">
        <v>79.63</v>
      </c>
      <c r="H192" s="58">
        <v>0.03</v>
      </c>
      <c r="I192" s="58">
        <v>0.04</v>
      </c>
      <c r="J192" s="58">
        <v>8.72</v>
      </c>
      <c r="K192" s="58">
        <v>23.7</v>
      </c>
      <c r="L192" s="58">
        <v>0.6</v>
      </c>
    </row>
    <row r="193" spans="1:12" ht="46.5" thickBot="1">
      <c r="A193" s="61">
        <v>7</v>
      </c>
      <c r="B193" s="62" t="s">
        <v>177</v>
      </c>
      <c r="C193" s="55">
        <v>50</v>
      </c>
      <c r="D193" s="58">
        <v>0.69</v>
      </c>
      <c r="E193" s="58">
        <v>1.95</v>
      </c>
      <c r="F193" s="58">
        <v>3.09</v>
      </c>
      <c r="G193" s="58">
        <v>31</v>
      </c>
      <c r="H193" s="58">
        <v>0.01</v>
      </c>
      <c r="I193" s="58">
        <v>0.1</v>
      </c>
      <c r="J193" s="58">
        <v>0</v>
      </c>
      <c r="K193" s="58">
        <v>0</v>
      </c>
      <c r="L193" s="58">
        <v>0.39</v>
      </c>
    </row>
    <row r="194" spans="1:12" ht="46.5" thickBot="1">
      <c r="A194" s="121">
        <v>8</v>
      </c>
      <c r="B194" s="62" t="s">
        <v>55</v>
      </c>
      <c r="C194" s="55">
        <v>150</v>
      </c>
      <c r="D194" s="58">
        <v>3.05</v>
      </c>
      <c r="E194" s="58">
        <v>5.24</v>
      </c>
      <c r="F194" s="58">
        <v>18.06</v>
      </c>
      <c r="G194" s="58">
        <v>142</v>
      </c>
      <c r="H194" s="58">
        <v>0.14</v>
      </c>
      <c r="I194" s="58">
        <v>0.1</v>
      </c>
      <c r="J194" s="58">
        <v>17.95</v>
      </c>
      <c r="K194" s="58">
        <v>46.18</v>
      </c>
      <c r="L194" s="58">
        <v>1.06</v>
      </c>
    </row>
    <row r="195" spans="1:12" ht="138" thickBot="1">
      <c r="A195" s="61" t="s">
        <v>241</v>
      </c>
      <c r="B195" s="62" t="s">
        <v>242</v>
      </c>
      <c r="C195" s="55">
        <v>200</v>
      </c>
      <c r="D195" s="58">
        <v>0.48</v>
      </c>
      <c r="E195" s="58">
        <v>0</v>
      </c>
      <c r="F195" s="58">
        <v>23.8</v>
      </c>
      <c r="G195" s="58">
        <v>90</v>
      </c>
      <c r="H195" s="58">
        <v>0</v>
      </c>
      <c r="I195" s="58">
        <v>0</v>
      </c>
      <c r="J195" s="58">
        <v>0.4</v>
      </c>
      <c r="K195" s="58">
        <v>49.14</v>
      </c>
      <c r="L195" s="58">
        <v>0.01</v>
      </c>
    </row>
    <row r="196" spans="1:12" ht="92.25" thickBot="1">
      <c r="A196" s="61" t="s">
        <v>45</v>
      </c>
      <c r="B196" s="62" t="s">
        <v>114</v>
      </c>
      <c r="C196" s="55">
        <v>35</v>
      </c>
      <c r="D196" s="58">
        <v>2.8</v>
      </c>
      <c r="E196" s="58">
        <v>0.35</v>
      </c>
      <c r="F196" s="58">
        <v>19.87</v>
      </c>
      <c r="G196" s="58">
        <v>82.6</v>
      </c>
      <c r="H196" s="58">
        <v>0.05</v>
      </c>
      <c r="I196" s="58">
        <v>0.02</v>
      </c>
      <c r="J196" s="58">
        <v>0</v>
      </c>
      <c r="K196" s="58">
        <v>8.4</v>
      </c>
      <c r="L196" s="58">
        <v>0.7</v>
      </c>
    </row>
    <row r="197" spans="1:12" ht="92.25" thickBot="1">
      <c r="A197" s="61" t="s">
        <v>45</v>
      </c>
      <c r="B197" s="62" t="s">
        <v>144</v>
      </c>
      <c r="C197" s="55">
        <v>45</v>
      </c>
      <c r="D197" s="58">
        <v>2.52</v>
      </c>
      <c r="E197" s="58">
        <v>0.54</v>
      </c>
      <c r="F197" s="58">
        <v>22.23</v>
      </c>
      <c r="G197" s="58">
        <v>104.4</v>
      </c>
      <c r="H197" s="58">
        <v>0.05</v>
      </c>
      <c r="I197" s="58">
        <v>0.02</v>
      </c>
      <c r="J197" s="58">
        <v>0</v>
      </c>
      <c r="K197" s="58">
        <v>10.8</v>
      </c>
      <c r="L197" s="58">
        <v>1.44</v>
      </c>
    </row>
    <row r="198" spans="1:12" ht="46.5" thickBot="1">
      <c r="A198" s="61"/>
      <c r="B198" s="62" t="s">
        <v>37</v>
      </c>
      <c r="C198" s="64"/>
      <c r="D198" s="58">
        <f>SUM(D190:D197)</f>
        <v>22.22</v>
      </c>
      <c r="E198" s="58">
        <f aca="true" t="shared" si="26" ref="E198:L198">SUM(E190:E197)</f>
        <v>17.75</v>
      </c>
      <c r="F198" s="58">
        <f t="shared" si="26"/>
        <v>114.66000000000001</v>
      </c>
      <c r="G198" s="58">
        <f t="shared" si="26"/>
        <v>686.9</v>
      </c>
      <c r="H198" s="58">
        <f t="shared" si="26"/>
        <v>0.51</v>
      </c>
      <c r="I198" s="58">
        <f t="shared" si="26"/>
        <v>0.38000000000000006</v>
      </c>
      <c r="J198" s="58">
        <f t="shared" si="26"/>
        <v>39.12</v>
      </c>
      <c r="K198" s="58">
        <f t="shared" si="26"/>
        <v>187.64000000000001</v>
      </c>
      <c r="L198" s="58">
        <f t="shared" si="26"/>
        <v>5.85</v>
      </c>
    </row>
    <row r="199" spans="1:12" ht="46.5" thickBot="1">
      <c r="A199" s="182" t="s">
        <v>207</v>
      </c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50"/>
    </row>
    <row r="200" spans="1:12" ht="92.25" thickBot="1">
      <c r="A200" s="61">
        <v>14</v>
      </c>
      <c r="B200" s="62" t="s">
        <v>224</v>
      </c>
      <c r="C200" s="55">
        <v>200</v>
      </c>
      <c r="D200" s="58">
        <v>6.21</v>
      </c>
      <c r="E200" s="58">
        <v>7.73</v>
      </c>
      <c r="F200" s="58">
        <v>27.71</v>
      </c>
      <c r="G200" s="58">
        <v>201</v>
      </c>
      <c r="H200" s="58">
        <v>0.1</v>
      </c>
      <c r="I200" s="58">
        <v>0.1</v>
      </c>
      <c r="J200" s="58">
        <v>1.95</v>
      </c>
      <c r="K200" s="58">
        <v>182.36</v>
      </c>
      <c r="L200" s="58">
        <v>0.5</v>
      </c>
    </row>
    <row r="201" spans="1:12" ht="46.5" thickBot="1">
      <c r="A201" s="121">
        <v>13</v>
      </c>
      <c r="B201" s="54" t="s">
        <v>9</v>
      </c>
      <c r="C201" s="63" t="s">
        <v>148</v>
      </c>
      <c r="D201" s="58">
        <v>0</v>
      </c>
      <c r="E201" s="58">
        <v>0</v>
      </c>
      <c r="F201" s="58">
        <v>11.98</v>
      </c>
      <c r="G201" s="58">
        <v>43</v>
      </c>
      <c r="H201" s="58">
        <v>0</v>
      </c>
      <c r="I201" s="58">
        <v>0</v>
      </c>
      <c r="J201" s="58">
        <v>0</v>
      </c>
      <c r="K201" s="58">
        <v>0.35</v>
      </c>
      <c r="L201" s="58">
        <v>0.06</v>
      </c>
    </row>
    <row r="202" spans="1:12" ht="92.25" thickBot="1">
      <c r="A202" s="61" t="s">
        <v>45</v>
      </c>
      <c r="B202" s="62" t="s">
        <v>114</v>
      </c>
      <c r="C202" s="55">
        <v>30</v>
      </c>
      <c r="D202" s="58">
        <v>2.4</v>
      </c>
      <c r="E202" s="58">
        <v>0.3</v>
      </c>
      <c r="F202" s="58">
        <v>14.46</v>
      </c>
      <c r="G202" s="58">
        <v>70.8</v>
      </c>
      <c r="H202" s="58">
        <v>0.05</v>
      </c>
      <c r="I202" s="58">
        <v>0.02</v>
      </c>
      <c r="J202" s="58">
        <v>0</v>
      </c>
      <c r="K202" s="58">
        <v>7.2</v>
      </c>
      <c r="L202" s="58">
        <v>0.6</v>
      </c>
    </row>
    <row r="203" spans="1:12" ht="46.5" thickBot="1">
      <c r="A203" s="61">
        <v>21</v>
      </c>
      <c r="B203" s="125" t="s">
        <v>38</v>
      </c>
      <c r="C203" s="64" t="s">
        <v>34</v>
      </c>
      <c r="D203" s="56">
        <v>4.35</v>
      </c>
      <c r="E203" s="56">
        <v>4.8</v>
      </c>
      <c r="F203" s="56">
        <v>6</v>
      </c>
      <c r="G203" s="56">
        <v>88.5</v>
      </c>
      <c r="H203" s="56">
        <v>0.04</v>
      </c>
      <c r="I203" s="56">
        <v>0.26</v>
      </c>
      <c r="J203" s="56">
        <v>1.05</v>
      </c>
      <c r="K203" s="56">
        <v>180</v>
      </c>
      <c r="L203" s="56">
        <v>0.15</v>
      </c>
    </row>
    <row r="204" spans="1:12" ht="92.25" thickBot="1">
      <c r="A204" s="61">
        <v>72</v>
      </c>
      <c r="B204" s="62" t="s">
        <v>138</v>
      </c>
      <c r="C204" s="64" t="s">
        <v>146</v>
      </c>
      <c r="D204" s="58">
        <v>5.3</v>
      </c>
      <c r="E204" s="58">
        <v>4.75</v>
      </c>
      <c r="F204" s="58">
        <v>29.5</v>
      </c>
      <c r="G204" s="58">
        <v>183.3</v>
      </c>
      <c r="H204" s="58">
        <v>0.11</v>
      </c>
      <c r="I204" s="58">
        <v>0.04</v>
      </c>
      <c r="J204" s="58">
        <v>0.26</v>
      </c>
      <c r="K204" s="58">
        <v>37.99</v>
      </c>
      <c r="L204" s="58">
        <v>0.87</v>
      </c>
    </row>
    <row r="205" spans="1:12" ht="46.5" thickBot="1">
      <c r="A205" s="61"/>
      <c r="B205" s="62" t="s">
        <v>37</v>
      </c>
      <c r="C205" s="64"/>
      <c r="D205" s="58">
        <f>SUM(D200:D204)</f>
        <v>18.259999999999998</v>
      </c>
      <c r="E205" s="58">
        <f aca="true" t="shared" si="27" ref="E205:L205">SUM(E200:E204)</f>
        <v>17.580000000000002</v>
      </c>
      <c r="F205" s="58">
        <f t="shared" si="27"/>
        <v>89.65</v>
      </c>
      <c r="G205" s="58">
        <f t="shared" si="27"/>
        <v>586.6</v>
      </c>
      <c r="H205" s="58">
        <f t="shared" si="27"/>
        <v>0.30000000000000004</v>
      </c>
      <c r="I205" s="58">
        <f t="shared" si="27"/>
        <v>0.42</v>
      </c>
      <c r="J205" s="58">
        <f t="shared" si="27"/>
        <v>3.26</v>
      </c>
      <c r="K205" s="58">
        <f t="shared" si="27"/>
        <v>407.9</v>
      </c>
      <c r="L205" s="58">
        <f t="shared" si="27"/>
        <v>2.18</v>
      </c>
    </row>
    <row r="206" spans="1:12" ht="53.25" thickBot="1">
      <c r="A206" s="61"/>
      <c r="B206" s="62"/>
      <c r="C206" s="64"/>
      <c r="D206" s="111" t="s">
        <v>1</v>
      </c>
      <c r="E206" s="112" t="s">
        <v>2</v>
      </c>
      <c r="F206" s="112" t="s">
        <v>3</v>
      </c>
      <c r="G206" s="126" t="s">
        <v>4</v>
      </c>
      <c r="H206" s="113" t="s">
        <v>251</v>
      </c>
      <c r="I206" s="113" t="s">
        <v>252</v>
      </c>
      <c r="J206" s="112" t="s">
        <v>6</v>
      </c>
      <c r="K206" s="112" t="s">
        <v>31</v>
      </c>
      <c r="L206" s="112" t="s">
        <v>5</v>
      </c>
    </row>
    <row r="207" spans="1:12" ht="46.5" thickBot="1">
      <c r="A207" s="61"/>
      <c r="B207" s="127" t="s">
        <v>12</v>
      </c>
      <c r="C207" s="64"/>
      <c r="D207" s="58">
        <f aca="true" t="shared" si="28" ref="D207:L207">SUM(D184+D188+D198+D205)</f>
        <v>59.419999999999995</v>
      </c>
      <c r="E207" s="58">
        <f t="shared" si="28"/>
        <v>56.64</v>
      </c>
      <c r="F207" s="58">
        <f t="shared" si="28"/>
        <v>259.43</v>
      </c>
      <c r="G207" s="58">
        <f t="shared" si="28"/>
        <v>1787.6799999999998</v>
      </c>
      <c r="H207" s="58">
        <f t="shared" si="28"/>
        <v>1.1400000000000001</v>
      </c>
      <c r="I207" s="58">
        <f t="shared" si="28"/>
        <v>1.05</v>
      </c>
      <c r="J207" s="58">
        <f t="shared" si="28"/>
        <v>56.809999999999995</v>
      </c>
      <c r="K207" s="58">
        <f t="shared" si="28"/>
        <v>951.0699999999999</v>
      </c>
      <c r="L207" s="58">
        <f t="shared" si="28"/>
        <v>12.59</v>
      </c>
    </row>
    <row r="208" spans="1:12" ht="46.5" thickBot="1">
      <c r="A208" s="61"/>
      <c r="B208" s="127" t="s">
        <v>13</v>
      </c>
      <c r="C208" s="64"/>
      <c r="D208" s="58">
        <v>51.3</v>
      </c>
      <c r="E208" s="58">
        <v>57</v>
      </c>
      <c r="F208" s="58">
        <v>247.95</v>
      </c>
      <c r="G208" s="58">
        <v>1710</v>
      </c>
      <c r="H208" s="58">
        <v>0.86</v>
      </c>
      <c r="I208" s="58">
        <v>0.95</v>
      </c>
      <c r="J208" s="58">
        <v>47.5</v>
      </c>
      <c r="K208" s="58">
        <v>855</v>
      </c>
      <c r="L208" s="58">
        <v>9.5</v>
      </c>
    </row>
    <row r="209" spans="1:12" ht="136.5" thickBot="1">
      <c r="A209" s="115"/>
      <c r="B209" s="128" t="s">
        <v>14</v>
      </c>
      <c r="C209" s="112"/>
      <c r="D209" s="129">
        <f aca="true" t="shared" si="29" ref="D209:L209">D207*100/D208</f>
        <v>115.82846003898635</v>
      </c>
      <c r="E209" s="129">
        <f t="shared" si="29"/>
        <v>99.36842105263158</v>
      </c>
      <c r="F209" s="129">
        <f t="shared" si="29"/>
        <v>104.62996571889494</v>
      </c>
      <c r="G209" s="129">
        <f t="shared" si="29"/>
        <v>104.54269005847952</v>
      </c>
      <c r="H209" s="129">
        <f t="shared" si="29"/>
        <v>132.55813953488374</v>
      </c>
      <c r="I209" s="129">
        <f t="shared" si="29"/>
        <v>110.52631578947368</v>
      </c>
      <c r="J209" s="129">
        <f t="shared" si="29"/>
        <v>119.59999999999998</v>
      </c>
      <c r="K209" s="129">
        <f t="shared" si="29"/>
        <v>111.23625730994152</v>
      </c>
      <c r="L209" s="129">
        <f t="shared" si="29"/>
        <v>132.52631578947367</v>
      </c>
    </row>
    <row r="210" spans="1:12" ht="45.75">
      <c r="A210" s="130"/>
      <c r="B210" s="102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1:12" ht="45.75">
      <c r="A211" s="130"/>
      <c r="B211" s="100" t="s">
        <v>182</v>
      </c>
      <c r="C211" s="100"/>
      <c r="E211" s="132"/>
      <c r="F211" s="132"/>
      <c r="G211" s="132"/>
      <c r="H211" s="132"/>
      <c r="I211" s="132"/>
      <c r="J211" s="132"/>
      <c r="K211" s="132"/>
      <c r="L211" s="132"/>
    </row>
    <row r="212" spans="1:12" ht="53.25">
      <c r="A212" s="130"/>
      <c r="B212" s="100" t="s">
        <v>254</v>
      </c>
      <c r="L212" s="132"/>
    </row>
    <row r="213" spans="1:12" ht="45.75">
      <c r="A213" s="130"/>
      <c r="B213" s="100" t="s">
        <v>180</v>
      </c>
      <c r="L213" s="132"/>
    </row>
    <row r="214" spans="1:12" ht="45.75">
      <c r="A214" s="130"/>
      <c r="B214" s="100" t="s">
        <v>179</v>
      </c>
      <c r="L214" s="132"/>
    </row>
    <row r="215" spans="1:12" ht="45.75">
      <c r="A215" s="130"/>
      <c r="L215" s="132"/>
    </row>
    <row r="216" spans="1:12" ht="45.75">
      <c r="A216" s="174" t="s">
        <v>97</v>
      </c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</row>
    <row r="217" spans="1:12" ht="45.75">
      <c r="A217" s="174" t="s">
        <v>106</v>
      </c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</row>
    <row r="218" spans="1:12" ht="45.75">
      <c r="A218" s="175" t="s">
        <v>99</v>
      </c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</row>
    <row r="219" spans="1:12" ht="46.5" thickBot="1">
      <c r="A219" s="176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</row>
    <row r="220" spans="1:12" ht="46.5" thickBot="1">
      <c r="A220" s="177" t="s">
        <v>39</v>
      </c>
      <c r="B220" s="152" t="s">
        <v>100</v>
      </c>
      <c r="C220" s="104" t="s">
        <v>27</v>
      </c>
      <c r="D220" s="179" t="s">
        <v>28</v>
      </c>
      <c r="E220" s="180"/>
      <c r="F220" s="181"/>
      <c r="G220" s="152" t="s">
        <v>101</v>
      </c>
      <c r="H220" s="179" t="s">
        <v>29</v>
      </c>
      <c r="I220" s="180"/>
      <c r="J220" s="181"/>
      <c r="K220" s="179" t="s">
        <v>30</v>
      </c>
      <c r="L220" s="181"/>
    </row>
    <row r="221" spans="1:12" ht="53.25" thickBot="1">
      <c r="A221" s="178"/>
      <c r="B221" s="103"/>
      <c r="C221" s="105"/>
      <c r="D221" s="111" t="s">
        <v>1</v>
      </c>
      <c r="E221" s="112" t="s">
        <v>2</v>
      </c>
      <c r="F221" s="112" t="s">
        <v>3</v>
      </c>
      <c r="G221" s="103"/>
      <c r="H221" s="113" t="s">
        <v>251</v>
      </c>
      <c r="I221" s="135" t="s">
        <v>252</v>
      </c>
      <c r="J221" s="112" t="s">
        <v>6</v>
      </c>
      <c r="K221" s="112" t="s">
        <v>31</v>
      </c>
      <c r="L221" s="112" t="s">
        <v>5</v>
      </c>
    </row>
    <row r="222" spans="1:12" ht="46.5" thickBot="1">
      <c r="A222" s="110">
        <v>1</v>
      </c>
      <c r="B222" s="116">
        <v>2</v>
      </c>
      <c r="C222" s="117">
        <v>3</v>
      </c>
      <c r="D222" s="136">
        <v>4</v>
      </c>
      <c r="E222" s="116">
        <v>5</v>
      </c>
      <c r="F222" s="116">
        <v>6</v>
      </c>
      <c r="G222" s="116">
        <v>7</v>
      </c>
      <c r="H222" s="137">
        <v>8</v>
      </c>
      <c r="I222" s="116">
        <v>9</v>
      </c>
      <c r="J222" s="116">
        <v>10</v>
      </c>
      <c r="K222" s="137">
        <v>11</v>
      </c>
      <c r="L222" s="116">
        <v>12</v>
      </c>
    </row>
    <row r="223" spans="1:12" ht="46.5" thickBot="1">
      <c r="A223" s="179" t="s">
        <v>7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1"/>
    </row>
    <row r="224" spans="1:12" ht="92.25" thickBot="1">
      <c r="A224" s="121">
        <v>68</v>
      </c>
      <c r="B224" s="124" t="s">
        <v>50</v>
      </c>
      <c r="C224" s="64" t="s">
        <v>32</v>
      </c>
      <c r="D224" s="56">
        <v>6.44</v>
      </c>
      <c r="E224" s="56">
        <v>7.53</v>
      </c>
      <c r="F224" s="56">
        <v>25.38</v>
      </c>
      <c r="G224" s="56">
        <v>192</v>
      </c>
      <c r="H224" s="56">
        <v>0.11</v>
      </c>
      <c r="I224" s="56">
        <v>0.05</v>
      </c>
      <c r="J224" s="56">
        <v>1.95</v>
      </c>
      <c r="K224" s="56">
        <v>186.58</v>
      </c>
      <c r="L224" s="56">
        <v>0.95</v>
      </c>
    </row>
    <row r="225" spans="1:12" ht="46.5" thickBot="1">
      <c r="A225" s="121">
        <v>13</v>
      </c>
      <c r="B225" s="54" t="s">
        <v>9</v>
      </c>
      <c r="C225" s="63" t="s">
        <v>148</v>
      </c>
      <c r="D225" s="58">
        <v>0</v>
      </c>
      <c r="E225" s="58">
        <v>0</v>
      </c>
      <c r="F225" s="58">
        <v>11.98</v>
      </c>
      <c r="G225" s="58">
        <v>43</v>
      </c>
      <c r="H225" s="58">
        <v>0</v>
      </c>
      <c r="I225" s="58">
        <v>0</v>
      </c>
      <c r="J225" s="58">
        <v>0</v>
      </c>
      <c r="K225" s="58">
        <v>0.35</v>
      </c>
      <c r="L225" s="58">
        <v>0.06</v>
      </c>
    </row>
    <row r="226" spans="1:12" ht="46.5" thickBot="1">
      <c r="A226" s="61">
        <v>16</v>
      </c>
      <c r="B226" s="62" t="s">
        <v>54</v>
      </c>
      <c r="C226" s="63" t="s">
        <v>205</v>
      </c>
      <c r="D226" s="58">
        <v>2.3</v>
      </c>
      <c r="E226" s="58">
        <v>4.36</v>
      </c>
      <c r="F226" s="58">
        <v>14.62</v>
      </c>
      <c r="G226" s="58">
        <v>108</v>
      </c>
      <c r="H226" s="58">
        <v>0.03</v>
      </c>
      <c r="I226" s="58">
        <v>0.03</v>
      </c>
      <c r="J226" s="58">
        <v>0</v>
      </c>
      <c r="K226" s="58">
        <v>6.6</v>
      </c>
      <c r="L226" s="58">
        <v>0.34</v>
      </c>
    </row>
    <row r="227" spans="1:12" ht="46.5" thickBot="1">
      <c r="A227" s="61"/>
      <c r="B227" s="62" t="s">
        <v>8</v>
      </c>
      <c r="C227" s="63"/>
      <c r="D227" s="58">
        <f aca="true" t="shared" si="30" ref="D227:L227">SUM(D224:D226)</f>
        <v>8.74</v>
      </c>
      <c r="E227" s="58">
        <f t="shared" si="30"/>
        <v>11.89</v>
      </c>
      <c r="F227" s="58">
        <f t="shared" si="30"/>
        <v>51.98</v>
      </c>
      <c r="G227" s="58">
        <f t="shared" si="30"/>
        <v>343</v>
      </c>
      <c r="H227" s="58">
        <f t="shared" si="30"/>
        <v>0.14</v>
      </c>
      <c r="I227" s="58">
        <f t="shared" si="30"/>
        <v>0.08</v>
      </c>
      <c r="J227" s="58">
        <f t="shared" si="30"/>
        <v>1.95</v>
      </c>
      <c r="K227" s="58">
        <f t="shared" si="30"/>
        <v>193.53</v>
      </c>
      <c r="L227" s="58">
        <f t="shared" si="30"/>
        <v>1.35</v>
      </c>
    </row>
    <row r="228" spans="1:12" ht="46.5" thickBot="1">
      <c r="A228" s="179" t="s">
        <v>107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1"/>
    </row>
    <row r="229" spans="1:12" ht="46.5" thickBot="1">
      <c r="A229" s="61" t="s">
        <v>45</v>
      </c>
      <c r="B229" s="62" t="s">
        <v>108</v>
      </c>
      <c r="C229" s="63" t="s">
        <v>238</v>
      </c>
      <c r="D229" s="58">
        <v>0.18</v>
      </c>
      <c r="E229" s="58">
        <v>0.09</v>
      </c>
      <c r="F229" s="58">
        <v>9.09</v>
      </c>
      <c r="G229" s="58">
        <v>41.4</v>
      </c>
      <c r="H229" s="58">
        <v>0.01</v>
      </c>
      <c r="I229" s="58">
        <v>0.01</v>
      </c>
      <c r="J229" s="58">
        <v>1.8</v>
      </c>
      <c r="K229" s="58">
        <v>6.3</v>
      </c>
      <c r="L229" s="58">
        <v>0.18</v>
      </c>
    </row>
    <row r="230" spans="1:12" ht="54" thickBot="1">
      <c r="A230" s="61" t="s">
        <v>45</v>
      </c>
      <c r="B230" s="62" t="s">
        <v>256</v>
      </c>
      <c r="C230" s="55">
        <v>110</v>
      </c>
      <c r="D230" s="56">
        <v>0.99</v>
      </c>
      <c r="E230" s="56">
        <v>0.33</v>
      </c>
      <c r="F230" s="56">
        <v>13.86</v>
      </c>
      <c r="G230" s="56">
        <v>63.36</v>
      </c>
      <c r="H230" s="56">
        <v>0.02</v>
      </c>
      <c r="I230" s="56">
        <v>0.04</v>
      </c>
      <c r="J230" s="56">
        <v>6.6</v>
      </c>
      <c r="K230" s="56">
        <v>5.28</v>
      </c>
      <c r="L230" s="56">
        <v>0.39</v>
      </c>
    </row>
    <row r="231" spans="1:12" ht="46.5" thickBot="1">
      <c r="A231" s="61"/>
      <c r="B231" s="62" t="s">
        <v>8</v>
      </c>
      <c r="C231" s="64"/>
      <c r="D231" s="58">
        <f>SUM(D229:D230)</f>
        <v>1.17</v>
      </c>
      <c r="E231" s="58">
        <f aca="true" t="shared" si="31" ref="E231:L231">SUM(E229:E230)</f>
        <v>0.42000000000000004</v>
      </c>
      <c r="F231" s="58">
        <f t="shared" si="31"/>
        <v>22.95</v>
      </c>
      <c r="G231" s="58">
        <f t="shared" si="31"/>
        <v>104.75999999999999</v>
      </c>
      <c r="H231" s="58">
        <f t="shared" si="31"/>
        <v>0.03</v>
      </c>
      <c r="I231" s="58">
        <f t="shared" si="31"/>
        <v>0.05</v>
      </c>
      <c r="J231" s="58">
        <f t="shared" si="31"/>
        <v>8.4</v>
      </c>
      <c r="K231" s="58">
        <f t="shared" si="31"/>
        <v>11.58</v>
      </c>
      <c r="L231" s="58">
        <f t="shared" si="31"/>
        <v>0.5700000000000001</v>
      </c>
    </row>
    <row r="232" spans="1:12" ht="46.5" thickBot="1">
      <c r="A232" s="179" t="s">
        <v>10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1"/>
    </row>
    <row r="233" spans="1:12" ht="138" thickBot="1">
      <c r="A233" s="121">
        <v>4</v>
      </c>
      <c r="B233" s="140" t="s">
        <v>193</v>
      </c>
      <c r="C233" s="63" t="s">
        <v>51</v>
      </c>
      <c r="D233" s="58">
        <v>1.13</v>
      </c>
      <c r="E233" s="58">
        <v>4.56</v>
      </c>
      <c r="F233" s="58">
        <v>4.09</v>
      </c>
      <c r="G233" s="58">
        <v>64</v>
      </c>
      <c r="H233" s="58">
        <v>0.03</v>
      </c>
      <c r="I233" s="58">
        <v>0.05</v>
      </c>
      <c r="J233" s="58">
        <v>4.48</v>
      </c>
      <c r="K233" s="58">
        <v>16.45</v>
      </c>
      <c r="L233" s="58">
        <v>0.61</v>
      </c>
    </row>
    <row r="234" spans="1:13" ht="92.25" thickBot="1">
      <c r="A234" s="61">
        <v>18</v>
      </c>
      <c r="B234" s="62" t="s">
        <v>71</v>
      </c>
      <c r="C234" s="64" t="s">
        <v>157</v>
      </c>
      <c r="D234" s="58">
        <v>4.15</v>
      </c>
      <c r="E234" s="58">
        <v>6.04</v>
      </c>
      <c r="F234" s="58">
        <v>19.67</v>
      </c>
      <c r="G234" s="58">
        <v>144</v>
      </c>
      <c r="H234" s="58">
        <v>0.15</v>
      </c>
      <c r="I234" s="58">
        <v>0.04</v>
      </c>
      <c r="J234" s="58">
        <v>7.87</v>
      </c>
      <c r="K234" s="58">
        <v>26.5</v>
      </c>
      <c r="L234" s="58">
        <v>1.21</v>
      </c>
      <c r="M234" s="120"/>
    </row>
    <row r="235" spans="1:13" ht="46.5" thickBot="1">
      <c r="A235" s="61">
        <v>80</v>
      </c>
      <c r="B235" s="62" t="s">
        <v>199</v>
      </c>
      <c r="C235" s="64" t="s">
        <v>146</v>
      </c>
      <c r="D235" s="58">
        <v>9.26</v>
      </c>
      <c r="E235" s="58">
        <v>8.49</v>
      </c>
      <c r="F235" s="58">
        <v>9.13</v>
      </c>
      <c r="G235" s="58">
        <v>152</v>
      </c>
      <c r="H235" s="58">
        <v>0.05</v>
      </c>
      <c r="I235" s="58">
        <v>0.04</v>
      </c>
      <c r="J235" s="58">
        <v>0.68</v>
      </c>
      <c r="K235" s="58">
        <v>20.65</v>
      </c>
      <c r="L235" s="58">
        <v>0.72</v>
      </c>
      <c r="M235" s="120"/>
    </row>
    <row r="236" spans="1:13" s="120" customFormat="1" ht="46.5" thickBot="1">
      <c r="A236" s="61">
        <v>7</v>
      </c>
      <c r="B236" s="62" t="s">
        <v>177</v>
      </c>
      <c r="C236" s="55">
        <v>50</v>
      </c>
      <c r="D236" s="58">
        <v>0.69</v>
      </c>
      <c r="E236" s="58">
        <v>1.95</v>
      </c>
      <c r="F236" s="58">
        <v>3.09</v>
      </c>
      <c r="G236" s="58">
        <v>31</v>
      </c>
      <c r="H236" s="58">
        <v>0.01</v>
      </c>
      <c r="I236" s="58">
        <v>0.1</v>
      </c>
      <c r="J236" s="58">
        <v>0</v>
      </c>
      <c r="K236" s="58">
        <v>0</v>
      </c>
      <c r="L236" s="58">
        <v>0.39</v>
      </c>
      <c r="M236" s="100"/>
    </row>
    <row r="237" spans="1:12" ht="92.25" thickBot="1">
      <c r="A237" s="61">
        <v>30</v>
      </c>
      <c r="B237" s="62" t="s">
        <v>136</v>
      </c>
      <c r="C237" s="55">
        <v>150</v>
      </c>
      <c r="D237" s="58">
        <v>5.34</v>
      </c>
      <c r="E237" s="58">
        <v>6.96</v>
      </c>
      <c r="F237" s="58">
        <v>31.45</v>
      </c>
      <c r="G237" s="58">
        <v>203</v>
      </c>
      <c r="H237" s="58">
        <v>0.06</v>
      </c>
      <c r="I237" s="58">
        <v>0.02</v>
      </c>
      <c r="J237" s="58">
        <v>5.95</v>
      </c>
      <c r="K237" s="58">
        <v>14.63</v>
      </c>
      <c r="L237" s="58">
        <v>0.07</v>
      </c>
    </row>
    <row r="238" spans="1:12" s="139" customFormat="1" ht="46.5" thickBot="1">
      <c r="A238" s="61">
        <v>20</v>
      </c>
      <c r="B238" s="62" t="s">
        <v>43</v>
      </c>
      <c r="C238" s="55">
        <v>200</v>
      </c>
      <c r="D238" s="58">
        <v>0</v>
      </c>
      <c r="E238" s="58">
        <v>0</v>
      </c>
      <c r="F238" s="58">
        <v>18</v>
      </c>
      <c r="G238" s="58">
        <v>60</v>
      </c>
      <c r="H238" s="58">
        <v>0</v>
      </c>
      <c r="I238" s="58">
        <v>0</v>
      </c>
      <c r="J238" s="58">
        <v>0</v>
      </c>
      <c r="K238" s="58">
        <v>0.48</v>
      </c>
      <c r="L238" s="58">
        <v>0.07</v>
      </c>
    </row>
    <row r="239" spans="1:12" ht="92.25" thickBot="1">
      <c r="A239" s="61" t="s">
        <v>45</v>
      </c>
      <c r="B239" s="62" t="s">
        <v>114</v>
      </c>
      <c r="C239" s="55">
        <v>35</v>
      </c>
      <c r="D239" s="58">
        <v>2.8</v>
      </c>
      <c r="E239" s="58">
        <v>0.35</v>
      </c>
      <c r="F239" s="58">
        <v>19.87</v>
      </c>
      <c r="G239" s="58">
        <v>82.6</v>
      </c>
      <c r="H239" s="58">
        <v>0.05</v>
      </c>
      <c r="I239" s="58">
        <v>0.02</v>
      </c>
      <c r="J239" s="58">
        <v>0</v>
      </c>
      <c r="K239" s="58">
        <v>8.4</v>
      </c>
      <c r="L239" s="58">
        <v>0.7</v>
      </c>
    </row>
    <row r="240" spans="1:12" ht="92.25" thickBot="1">
      <c r="A240" s="61" t="s">
        <v>45</v>
      </c>
      <c r="B240" s="62" t="s">
        <v>144</v>
      </c>
      <c r="C240" s="55">
        <v>45</v>
      </c>
      <c r="D240" s="58">
        <v>2.52</v>
      </c>
      <c r="E240" s="58">
        <v>0.54</v>
      </c>
      <c r="F240" s="58">
        <v>22.23</v>
      </c>
      <c r="G240" s="58">
        <v>104.4</v>
      </c>
      <c r="H240" s="58">
        <v>0.05</v>
      </c>
      <c r="I240" s="58">
        <v>0.02</v>
      </c>
      <c r="J240" s="58">
        <v>0</v>
      </c>
      <c r="K240" s="58">
        <v>10.8</v>
      </c>
      <c r="L240" s="58">
        <v>1.44</v>
      </c>
    </row>
    <row r="241" spans="1:12" ht="46.5" thickBot="1">
      <c r="A241" s="121"/>
      <c r="B241" s="124" t="s">
        <v>37</v>
      </c>
      <c r="C241" s="55"/>
      <c r="D241" s="56">
        <f aca="true" t="shared" si="32" ref="D241:L241">SUM(D233:D240)</f>
        <v>25.89</v>
      </c>
      <c r="E241" s="56">
        <f t="shared" si="32"/>
        <v>28.89</v>
      </c>
      <c r="F241" s="56">
        <f t="shared" si="32"/>
        <v>127.53000000000002</v>
      </c>
      <c r="G241" s="56">
        <f t="shared" si="32"/>
        <v>841</v>
      </c>
      <c r="H241" s="56">
        <f t="shared" si="32"/>
        <v>0.39999999999999997</v>
      </c>
      <c r="I241" s="56">
        <f t="shared" si="32"/>
        <v>0.29000000000000004</v>
      </c>
      <c r="J241" s="56">
        <f t="shared" si="32"/>
        <v>18.98</v>
      </c>
      <c r="K241" s="56">
        <f t="shared" si="32"/>
        <v>97.91000000000001</v>
      </c>
      <c r="L241" s="56">
        <f t="shared" si="32"/>
        <v>5.209999999999999</v>
      </c>
    </row>
    <row r="242" spans="1:12" ht="46.5" thickBot="1">
      <c r="A242" s="182" t="s">
        <v>207</v>
      </c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50"/>
    </row>
    <row r="243" spans="1:12" ht="46.5" thickBot="1">
      <c r="A243" s="61">
        <v>1</v>
      </c>
      <c r="B243" s="124" t="s">
        <v>70</v>
      </c>
      <c r="C243" s="55">
        <v>200</v>
      </c>
      <c r="D243" s="58">
        <v>5.76</v>
      </c>
      <c r="E243" s="58">
        <v>6.63</v>
      </c>
      <c r="F243" s="58">
        <v>18.28</v>
      </c>
      <c r="G243" s="129">
        <v>156</v>
      </c>
      <c r="H243" s="129">
        <v>0.07</v>
      </c>
      <c r="I243" s="129">
        <v>0.09</v>
      </c>
      <c r="J243" s="134">
        <v>1.17</v>
      </c>
      <c r="K243" s="129">
        <v>199.75</v>
      </c>
      <c r="L243" s="129">
        <v>0.22</v>
      </c>
    </row>
    <row r="244" spans="1:12" ht="46.5" thickBot="1">
      <c r="A244" s="61">
        <v>86</v>
      </c>
      <c r="B244" s="62" t="s">
        <v>128</v>
      </c>
      <c r="C244" s="63" t="s">
        <v>151</v>
      </c>
      <c r="D244" s="58">
        <v>2.32</v>
      </c>
      <c r="E244" s="58">
        <v>0.24</v>
      </c>
      <c r="F244" s="58">
        <v>20.08</v>
      </c>
      <c r="G244" s="58">
        <v>92</v>
      </c>
      <c r="H244" s="58">
        <v>0.03</v>
      </c>
      <c r="I244" s="58">
        <v>0.02</v>
      </c>
      <c r="J244" s="58">
        <v>0.01</v>
      </c>
      <c r="K244" s="58">
        <v>6.96</v>
      </c>
      <c r="L244" s="58">
        <v>0.41</v>
      </c>
    </row>
    <row r="245" spans="1:12" ht="46.5" thickBot="1">
      <c r="A245" s="61">
        <v>15</v>
      </c>
      <c r="B245" s="62" t="s">
        <v>18</v>
      </c>
      <c r="C245" s="55">
        <v>180</v>
      </c>
      <c r="D245" s="58">
        <v>1.2</v>
      </c>
      <c r="E245" s="58">
        <v>1.3</v>
      </c>
      <c r="F245" s="58">
        <v>13</v>
      </c>
      <c r="G245" s="58">
        <v>90</v>
      </c>
      <c r="H245" s="123">
        <v>0.03</v>
      </c>
      <c r="I245" s="123">
        <v>0.03</v>
      </c>
      <c r="J245" s="123">
        <v>1</v>
      </c>
      <c r="K245" s="58">
        <v>109.78</v>
      </c>
      <c r="L245" s="58">
        <v>0.02</v>
      </c>
    </row>
    <row r="246" spans="1:12" ht="46.5" thickBot="1">
      <c r="A246" s="61">
        <v>21</v>
      </c>
      <c r="B246" s="125" t="s">
        <v>38</v>
      </c>
      <c r="C246" s="64" t="s">
        <v>34</v>
      </c>
      <c r="D246" s="56">
        <v>4.35</v>
      </c>
      <c r="E246" s="56">
        <v>4.8</v>
      </c>
      <c r="F246" s="56">
        <v>6</v>
      </c>
      <c r="G246" s="56">
        <v>88.5</v>
      </c>
      <c r="H246" s="56">
        <v>0.04</v>
      </c>
      <c r="I246" s="56">
        <v>0.26</v>
      </c>
      <c r="J246" s="56">
        <v>1.05</v>
      </c>
      <c r="K246" s="56">
        <v>180</v>
      </c>
      <c r="L246" s="56">
        <v>0.15</v>
      </c>
    </row>
    <row r="247" spans="1:12" ht="46.5" thickBot="1">
      <c r="A247" s="61">
        <v>78</v>
      </c>
      <c r="B247" s="62" t="s">
        <v>187</v>
      </c>
      <c r="C247" s="64" t="s">
        <v>146</v>
      </c>
      <c r="D247" s="58">
        <v>5.05</v>
      </c>
      <c r="E247" s="58">
        <v>9.63</v>
      </c>
      <c r="F247" s="58">
        <v>33.52</v>
      </c>
      <c r="G247" s="58">
        <v>177.7</v>
      </c>
      <c r="H247" s="58">
        <v>0.09</v>
      </c>
      <c r="I247" s="58">
        <v>0.04</v>
      </c>
      <c r="J247" s="58">
        <v>0.27</v>
      </c>
      <c r="K247" s="58">
        <v>30.75</v>
      </c>
      <c r="L247" s="58">
        <v>0.44</v>
      </c>
    </row>
    <row r="248" spans="1:12" ht="46.5" thickBot="1">
      <c r="A248" s="115"/>
      <c r="B248" s="62" t="s">
        <v>8</v>
      </c>
      <c r="C248" s="64"/>
      <c r="D248" s="58">
        <f aca="true" t="shared" si="33" ref="D248:L248">SUM(D243:D247)</f>
        <v>18.68</v>
      </c>
      <c r="E248" s="58">
        <f t="shared" si="33"/>
        <v>22.6</v>
      </c>
      <c r="F248" s="58">
        <f t="shared" si="33"/>
        <v>90.88</v>
      </c>
      <c r="G248" s="58">
        <f t="shared" si="33"/>
        <v>604.2</v>
      </c>
      <c r="H248" s="58">
        <f t="shared" si="33"/>
        <v>0.26</v>
      </c>
      <c r="I248" s="58">
        <f t="shared" si="33"/>
        <v>0.44</v>
      </c>
      <c r="J248" s="58">
        <f t="shared" si="33"/>
        <v>3.4999999999999996</v>
      </c>
      <c r="K248" s="58">
        <f t="shared" si="33"/>
        <v>527.24</v>
      </c>
      <c r="L248" s="58">
        <f t="shared" si="33"/>
        <v>1.24</v>
      </c>
    </row>
    <row r="249" spans="1:12" ht="53.25" thickBot="1">
      <c r="A249" s="61"/>
      <c r="B249" s="62"/>
      <c r="C249" s="64"/>
      <c r="D249" s="111" t="s">
        <v>1</v>
      </c>
      <c r="E249" s="112" t="s">
        <v>2</v>
      </c>
      <c r="F249" s="112" t="s">
        <v>3</v>
      </c>
      <c r="G249" s="126" t="s">
        <v>4</v>
      </c>
      <c r="H249" s="113" t="s">
        <v>251</v>
      </c>
      <c r="I249" s="113" t="s">
        <v>252</v>
      </c>
      <c r="J249" s="112" t="s">
        <v>6</v>
      </c>
      <c r="K249" s="112" t="s">
        <v>31</v>
      </c>
      <c r="L249" s="112" t="s">
        <v>5</v>
      </c>
    </row>
    <row r="250" spans="1:12" ht="46.5" thickBot="1">
      <c r="A250" s="61"/>
      <c r="B250" s="127" t="s">
        <v>12</v>
      </c>
      <c r="C250" s="64"/>
      <c r="D250" s="58">
        <f aca="true" t="shared" si="34" ref="D250:L250">SUM(D227+D231+D241+D248)</f>
        <v>54.48</v>
      </c>
      <c r="E250" s="58">
        <f t="shared" si="34"/>
        <v>63.800000000000004</v>
      </c>
      <c r="F250" s="58">
        <f t="shared" si="34"/>
        <v>293.34000000000003</v>
      </c>
      <c r="G250" s="58">
        <f t="shared" si="34"/>
        <v>1892.96</v>
      </c>
      <c r="H250" s="58">
        <f t="shared" si="34"/>
        <v>0.83</v>
      </c>
      <c r="I250" s="58">
        <f t="shared" si="34"/>
        <v>0.8600000000000001</v>
      </c>
      <c r="J250" s="58">
        <f t="shared" si="34"/>
        <v>32.83</v>
      </c>
      <c r="K250" s="58">
        <f t="shared" si="34"/>
        <v>830.26</v>
      </c>
      <c r="L250" s="58">
        <f t="shared" si="34"/>
        <v>8.37</v>
      </c>
    </row>
    <row r="251" spans="1:12" ht="46.5" thickBot="1">
      <c r="A251" s="61"/>
      <c r="B251" s="127" t="s">
        <v>13</v>
      </c>
      <c r="C251" s="64"/>
      <c r="D251" s="58">
        <v>51.3</v>
      </c>
      <c r="E251" s="58">
        <v>57</v>
      </c>
      <c r="F251" s="58">
        <v>247.95</v>
      </c>
      <c r="G251" s="58">
        <v>1710</v>
      </c>
      <c r="H251" s="58">
        <v>0.86</v>
      </c>
      <c r="I251" s="58">
        <v>0.95</v>
      </c>
      <c r="J251" s="58">
        <v>47.5</v>
      </c>
      <c r="K251" s="58">
        <v>855</v>
      </c>
      <c r="L251" s="58">
        <v>9.5</v>
      </c>
    </row>
    <row r="252" spans="1:12" ht="136.5" thickBot="1">
      <c r="A252" s="115"/>
      <c r="B252" s="128" t="s">
        <v>14</v>
      </c>
      <c r="C252" s="112"/>
      <c r="D252" s="129">
        <f aca="true" t="shared" si="35" ref="D252:L252">D250*100/D251</f>
        <v>106.19883040935673</v>
      </c>
      <c r="E252" s="129">
        <f t="shared" si="35"/>
        <v>111.9298245614035</v>
      </c>
      <c r="F252" s="129">
        <f t="shared" si="35"/>
        <v>118.30611010284333</v>
      </c>
      <c r="G252" s="129">
        <f t="shared" si="35"/>
        <v>110.69941520467836</v>
      </c>
      <c r="H252" s="129">
        <f t="shared" si="35"/>
        <v>96.51162790697674</v>
      </c>
      <c r="I252" s="129">
        <f t="shared" si="35"/>
        <v>90.5263157894737</v>
      </c>
      <c r="J252" s="129">
        <f t="shared" si="35"/>
        <v>69.11578947368422</v>
      </c>
      <c r="K252" s="129">
        <f t="shared" si="35"/>
        <v>97.10643274853801</v>
      </c>
      <c r="L252" s="129">
        <f t="shared" si="35"/>
        <v>88.10526315789473</v>
      </c>
    </row>
    <row r="253" spans="1:12" ht="45.75">
      <c r="A253" s="130"/>
      <c r="B253" s="102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</row>
    <row r="254" spans="1:12" ht="45.75">
      <c r="A254" s="130"/>
      <c r="B254" s="100" t="s">
        <v>182</v>
      </c>
      <c r="C254" s="100"/>
      <c r="E254" s="132"/>
      <c r="F254" s="132"/>
      <c r="G254" s="132"/>
      <c r="H254" s="132"/>
      <c r="I254" s="132"/>
      <c r="J254" s="132"/>
      <c r="K254" s="132"/>
      <c r="L254" s="132"/>
    </row>
    <row r="255" spans="1:12" ht="53.25">
      <c r="A255" s="130"/>
      <c r="B255" s="100" t="s">
        <v>254</v>
      </c>
      <c r="L255" s="132"/>
    </row>
    <row r="256" spans="1:12" ht="45.75">
      <c r="A256" s="130"/>
      <c r="B256" s="100" t="s">
        <v>180</v>
      </c>
      <c r="L256" s="132"/>
    </row>
    <row r="257" spans="1:12" ht="45.75">
      <c r="A257" s="130"/>
      <c r="B257" s="100" t="s">
        <v>179</v>
      </c>
      <c r="L257" s="132"/>
    </row>
    <row r="258" spans="1:12" ht="45.75">
      <c r="A258" s="130"/>
      <c r="L258" s="132"/>
    </row>
    <row r="259" spans="1:12" ht="45.75">
      <c r="A259" s="174" t="s">
        <v>102</v>
      </c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</row>
    <row r="260" spans="1:12" ht="45.75">
      <c r="A260" s="174" t="s">
        <v>106</v>
      </c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</row>
    <row r="261" spans="1:12" ht="45.75">
      <c r="A261" s="175" t="s">
        <v>99</v>
      </c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</row>
    <row r="262" spans="1:12" ht="46.5" thickBot="1">
      <c r="A262" s="176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</row>
    <row r="263" spans="1:12" ht="46.5" thickBot="1">
      <c r="A263" s="177" t="s">
        <v>39</v>
      </c>
      <c r="B263" s="152" t="s">
        <v>100</v>
      </c>
      <c r="C263" s="104" t="s">
        <v>27</v>
      </c>
      <c r="D263" s="179" t="s">
        <v>28</v>
      </c>
      <c r="E263" s="180"/>
      <c r="F263" s="181"/>
      <c r="G263" s="152" t="s">
        <v>101</v>
      </c>
      <c r="H263" s="179" t="s">
        <v>29</v>
      </c>
      <c r="I263" s="180"/>
      <c r="J263" s="181"/>
      <c r="K263" s="179" t="s">
        <v>30</v>
      </c>
      <c r="L263" s="181"/>
    </row>
    <row r="264" spans="1:12" ht="53.25" thickBot="1">
      <c r="A264" s="178"/>
      <c r="B264" s="103"/>
      <c r="C264" s="105"/>
      <c r="D264" s="111" t="s">
        <v>1</v>
      </c>
      <c r="E264" s="112" t="s">
        <v>2</v>
      </c>
      <c r="F264" s="112" t="s">
        <v>3</v>
      </c>
      <c r="G264" s="103"/>
      <c r="H264" s="113" t="s">
        <v>251</v>
      </c>
      <c r="I264" s="135" t="s">
        <v>252</v>
      </c>
      <c r="J264" s="112" t="s">
        <v>6</v>
      </c>
      <c r="K264" s="112" t="s">
        <v>31</v>
      </c>
      <c r="L264" s="112" t="s">
        <v>5</v>
      </c>
    </row>
    <row r="265" spans="1:12" ht="46.5" thickBot="1">
      <c r="A265" s="110">
        <v>1</v>
      </c>
      <c r="B265" s="116">
        <v>2</v>
      </c>
      <c r="C265" s="117">
        <v>3</v>
      </c>
      <c r="D265" s="136">
        <v>4</v>
      </c>
      <c r="E265" s="116">
        <v>5</v>
      </c>
      <c r="F265" s="116">
        <v>6</v>
      </c>
      <c r="G265" s="116">
        <v>7</v>
      </c>
      <c r="H265" s="137">
        <v>8</v>
      </c>
      <c r="I265" s="116">
        <v>9</v>
      </c>
      <c r="J265" s="116">
        <v>10</v>
      </c>
      <c r="K265" s="137">
        <v>11</v>
      </c>
      <c r="L265" s="116">
        <v>12</v>
      </c>
    </row>
    <row r="266" spans="1:12" ht="46.5" thickBot="1">
      <c r="A266" s="179" t="s">
        <v>7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1"/>
    </row>
    <row r="267" spans="1:12" ht="92.25" thickBot="1">
      <c r="A267" s="121">
        <v>50.14</v>
      </c>
      <c r="B267" s="124" t="s">
        <v>221</v>
      </c>
      <c r="C267" s="55">
        <v>200</v>
      </c>
      <c r="D267" s="56">
        <v>5.55</v>
      </c>
      <c r="E267" s="56">
        <v>7.47</v>
      </c>
      <c r="F267" s="56">
        <v>26.08</v>
      </c>
      <c r="G267" s="56">
        <v>192</v>
      </c>
      <c r="H267" s="56">
        <v>0.07</v>
      </c>
      <c r="I267" s="56">
        <v>0.04</v>
      </c>
      <c r="J267" s="56">
        <v>1.95</v>
      </c>
      <c r="K267" s="56">
        <v>180.24</v>
      </c>
      <c r="L267" s="56">
        <v>0.31</v>
      </c>
    </row>
    <row r="268" spans="1:12" ht="92.25" thickBot="1">
      <c r="A268" s="61">
        <v>103</v>
      </c>
      <c r="B268" s="62" t="s">
        <v>237</v>
      </c>
      <c r="C268" s="55">
        <v>180</v>
      </c>
      <c r="D268" s="56">
        <v>2</v>
      </c>
      <c r="E268" s="56">
        <v>2.3</v>
      </c>
      <c r="F268" s="56">
        <v>17</v>
      </c>
      <c r="G268" s="56">
        <v>102</v>
      </c>
      <c r="H268" s="56">
        <v>0.02</v>
      </c>
      <c r="I268" s="56">
        <v>0.02</v>
      </c>
      <c r="J268" s="56">
        <v>0.35</v>
      </c>
      <c r="K268" s="56">
        <v>107.5</v>
      </c>
      <c r="L268" s="56">
        <v>0.08</v>
      </c>
    </row>
    <row r="269" spans="1:12" ht="92.25" thickBot="1">
      <c r="A269" s="61">
        <v>3</v>
      </c>
      <c r="B269" s="62" t="s">
        <v>58</v>
      </c>
      <c r="C269" s="64" t="s">
        <v>232</v>
      </c>
      <c r="D269" s="58">
        <v>5.06</v>
      </c>
      <c r="E269" s="58">
        <v>7</v>
      </c>
      <c r="F269" s="58">
        <v>14.62</v>
      </c>
      <c r="G269" s="58">
        <v>145</v>
      </c>
      <c r="H269" s="58">
        <v>0.03</v>
      </c>
      <c r="I269" s="58">
        <v>0.03</v>
      </c>
      <c r="J269" s="58">
        <v>0.19</v>
      </c>
      <c r="K269" s="58">
        <v>126.6</v>
      </c>
      <c r="L269" s="58">
        <v>0.47</v>
      </c>
    </row>
    <row r="270" spans="1:12" ht="46.5" thickBot="1">
      <c r="A270" s="61"/>
      <c r="B270" s="62" t="s">
        <v>8</v>
      </c>
      <c r="C270" s="64"/>
      <c r="D270" s="58">
        <f>SUM(D267:D269)</f>
        <v>12.61</v>
      </c>
      <c r="E270" s="58">
        <f aca="true" t="shared" si="36" ref="E270:L270">SUM(E267:E269)</f>
        <v>16.77</v>
      </c>
      <c r="F270" s="58">
        <f t="shared" si="36"/>
        <v>57.699999999999996</v>
      </c>
      <c r="G270" s="58">
        <f t="shared" si="36"/>
        <v>439</v>
      </c>
      <c r="H270" s="58">
        <f t="shared" si="36"/>
        <v>0.12000000000000001</v>
      </c>
      <c r="I270" s="58">
        <f t="shared" si="36"/>
        <v>0.09</v>
      </c>
      <c r="J270" s="58">
        <f t="shared" si="36"/>
        <v>2.4899999999999998</v>
      </c>
      <c r="K270" s="58">
        <f t="shared" si="36"/>
        <v>414.34000000000003</v>
      </c>
      <c r="L270" s="58">
        <f t="shared" si="36"/>
        <v>0.86</v>
      </c>
    </row>
    <row r="271" spans="1:12" ht="46.5" thickBot="1">
      <c r="A271" s="179" t="s">
        <v>107</v>
      </c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1"/>
    </row>
    <row r="272" spans="1:12" ht="46.5" thickBot="1">
      <c r="A272" s="61" t="s">
        <v>45</v>
      </c>
      <c r="B272" s="62" t="s">
        <v>108</v>
      </c>
      <c r="C272" s="63" t="s">
        <v>238</v>
      </c>
      <c r="D272" s="58">
        <v>0.18</v>
      </c>
      <c r="E272" s="58">
        <v>0.09</v>
      </c>
      <c r="F272" s="58">
        <v>9.09</v>
      </c>
      <c r="G272" s="58">
        <v>41.4</v>
      </c>
      <c r="H272" s="58">
        <v>0.01</v>
      </c>
      <c r="I272" s="58">
        <v>0.01</v>
      </c>
      <c r="J272" s="58">
        <v>1.8</v>
      </c>
      <c r="K272" s="58">
        <v>6.3</v>
      </c>
      <c r="L272" s="58">
        <v>0.18</v>
      </c>
    </row>
    <row r="273" spans="1:12" ht="138" thickBot="1">
      <c r="A273" s="61" t="s">
        <v>45</v>
      </c>
      <c r="B273" s="62" t="s">
        <v>184</v>
      </c>
      <c r="C273" s="63" t="s">
        <v>90</v>
      </c>
      <c r="D273" s="58">
        <v>1.49</v>
      </c>
      <c r="E273" s="58">
        <v>2.24</v>
      </c>
      <c r="F273" s="58">
        <v>1.04</v>
      </c>
      <c r="G273" s="58">
        <v>36</v>
      </c>
      <c r="H273" s="58">
        <v>0.02</v>
      </c>
      <c r="I273" s="58">
        <v>0.06</v>
      </c>
      <c r="J273" s="58">
        <v>0.12</v>
      </c>
      <c r="K273" s="58">
        <v>21.84</v>
      </c>
      <c r="L273" s="58">
        <v>0.02</v>
      </c>
    </row>
    <row r="274" spans="1:12" ht="54" thickBot="1">
      <c r="A274" s="61" t="s">
        <v>45</v>
      </c>
      <c r="B274" s="62" t="s">
        <v>253</v>
      </c>
      <c r="C274" s="64" t="s">
        <v>219</v>
      </c>
      <c r="D274" s="58">
        <v>0.39</v>
      </c>
      <c r="E274" s="58">
        <v>0.39</v>
      </c>
      <c r="F274" s="58">
        <v>9.48</v>
      </c>
      <c r="G274" s="58">
        <v>45.49</v>
      </c>
      <c r="H274" s="58">
        <v>0.04</v>
      </c>
      <c r="I274" s="58">
        <v>0.02</v>
      </c>
      <c r="J274" s="58">
        <v>9.68</v>
      </c>
      <c r="K274" s="58">
        <v>15.49</v>
      </c>
      <c r="L274" s="58">
        <v>2.14</v>
      </c>
    </row>
    <row r="275" spans="1:12" ht="46.5" thickBot="1">
      <c r="A275" s="61"/>
      <c r="B275" s="62" t="s">
        <v>8</v>
      </c>
      <c r="C275" s="64"/>
      <c r="D275" s="58">
        <f>SUM(D272:D274)</f>
        <v>2.06</v>
      </c>
      <c r="E275" s="58">
        <f aca="true" t="shared" si="37" ref="E275:L275">SUM(E272:E274)</f>
        <v>2.72</v>
      </c>
      <c r="F275" s="58">
        <f t="shared" si="37"/>
        <v>19.61</v>
      </c>
      <c r="G275" s="58">
        <f t="shared" si="37"/>
        <v>122.89000000000001</v>
      </c>
      <c r="H275" s="58">
        <f t="shared" si="37"/>
        <v>0.07</v>
      </c>
      <c r="I275" s="58">
        <f t="shared" si="37"/>
        <v>0.09</v>
      </c>
      <c r="J275" s="58">
        <f t="shared" si="37"/>
        <v>11.6</v>
      </c>
      <c r="K275" s="58">
        <f t="shared" si="37"/>
        <v>43.63</v>
      </c>
      <c r="L275" s="58">
        <f t="shared" si="37"/>
        <v>2.3400000000000003</v>
      </c>
    </row>
    <row r="276" spans="1:12" ht="46.5" thickBot="1">
      <c r="A276" s="179" t="s">
        <v>10</v>
      </c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1"/>
    </row>
    <row r="277" spans="1:12" ht="46.5" thickBot="1">
      <c r="A277" s="61">
        <v>33</v>
      </c>
      <c r="B277" s="62" t="s">
        <v>67</v>
      </c>
      <c r="C277" s="63" t="s">
        <v>51</v>
      </c>
      <c r="D277" s="58">
        <v>5.3</v>
      </c>
      <c r="E277" s="58">
        <v>6.5</v>
      </c>
      <c r="F277" s="58">
        <v>0.91</v>
      </c>
      <c r="G277" s="58">
        <v>116</v>
      </c>
      <c r="H277" s="58">
        <v>0.01</v>
      </c>
      <c r="I277" s="58">
        <v>0.05</v>
      </c>
      <c r="J277" s="58">
        <v>1</v>
      </c>
      <c r="K277" s="58">
        <v>39.9</v>
      </c>
      <c r="L277" s="58">
        <v>0.59</v>
      </c>
    </row>
    <row r="278" spans="1:12" ht="92.25" thickBot="1">
      <c r="A278" s="61">
        <v>70</v>
      </c>
      <c r="B278" s="62" t="s">
        <v>68</v>
      </c>
      <c r="C278" s="64" t="s">
        <v>156</v>
      </c>
      <c r="D278" s="58">
        <v>4.22</v>
      </c>
      <c r="E278" s="58">
        <v>6.5</v>
      </c>
      <c r="F278" s="58">
        <v>13.77</v>
      </c>
      <c r="G278" s="58">
        <v>145</v>
      </c>
      <c r="H278" s="58">
        <v>0.09</v>
      </c>
      <c r="I278" s="58">
        <v>0.06</v>
      </c>
      <c r="J278" s="58">
        <v>9.95</v>
      </c>
      <c r="K278" s="58">
        <v>47.51</v>
      </c>
      <c r="L278" s="58">
        <v>1.64</v>
      </c>
    </row>
    <row r="279" spans="1:12" ht="46.5" thickBot="1">
      <c r="A279" s="61">
        <v>64</v>
      </c>
      <c r="B279" s="62" t="s">
        <v>57</v>
      </c>
      <c r="C279" s="55">
        <v>70</v>
      </c>
      <c r="D279" s="58">
        <v>8.98</v>
      </c>
      <c r="E279" s="58">
        <v>9.49</v>
      </c>
      <c r="F279" s="58">
        <v>7.31</v>
      </c>
      <c r="G279" s="58">
        <v>150.5</v>
      </c>
      <c r="H279" s="58">
        <v>0.04</v>
      </c>
      <c r="I279" s="58">
        <v>0.04</v>
      </c>
      <c r="J279" s="58">
        <v>0.79</v>
      </c>
      <c r="K279" s="58">
        <v>4.59</v>
      </c>
      <c r="L279" s="58">
        <v>0.23</v>
      </c>
    </row>
    <row r="280" spans="1:12" ht="46.5" thickBot="1">
      <c r="A280" s="61">
        <v>7</v>
      </c>
      <c r="B280" s="62" t="s">
        <v>177</v>
      </c>
      <c r="C280" s="55">
        <v>50</v>
      </c>
      <c r="D280" s="58">
        <v>0.69</v>
      </c>
      <c r="E280" s="58">
        <v>1.95</v>
      </c>
      <c r="F280" s="58">
        <v>3.09</v>
      </c>
      <c r="G280" s="58">
        <v>31</v>
      </c>
      <c r="H280" s="58">
        <v>0.01</v>
      </c>
      <c r="I280" s="58">
        <v>0.1</v>
      </c>
      <c r="J280" s="58">
        <v>0</v>
      </c>
      <c r="K280" s="58">
        <v>0</v>
      </c>
      <c r="L280" s="58">
        <v>0.39</v>
      </c>
    </row>
    <row r="281" spans="1:12" ht="46.5" thickBot="1">
      <c r="A281" s="61">
        <v>90</v>
      </c>
      <c r="B281" s="62" t="s">
        <v>197</v>
      </c>
      <c r="C281" s="55">
        <v>180</v>
      </c>
      <c r="D281" s="58">
        <v>2.67</v>
      </c>
      <c r="E281" s="58">
        <v>4.82</v>
      </c>
      <c r="F281" s="58">
        <v>12.19</v>
      </c>
      <c r="G281" s="58">
        <v>104</v>
      </c>
      <c r="H281" s="58">
        <v>0.06</v>
      </c>
      <c r="I281" s="58">
        <v>0.05</v>
      </c>
      <c r="J281" s="58">
        <v>17.2</v>
      </c>
      <c r="K281" s="58">
        <v>60.14</v>
      </c>
      <c r="L281" s="58">
        <v>1</v>
      </c>
    </row>
    <row r="282" spans="1:12" ht="46.5" thickBot="1">
      <c r="A282" s="61">
        <v>9</v>
      </c>
      <c r="B282" s="62" t="s">
        <v>74</v>
      </c>
      <c r="C282" s="55">
        <v>200</v>
      </c>
      <c r="D282" s="58">
        <v>0.48</v>
      </c>
      <c r="E282" s="58">
        <v>0</v>
      </c>
      <c r="F282" s="58">
        <v>23.8</v>
      </c>
      <c r="G282" s="58">
        <v>90</v>
      </c>
      <c r="H282" s="58">
        <v>0</v>
      </c>
      <c r="I282" s="58">
        <v>0</v>
      </c>
      <c r="J282" s="58">
        <v>0.4</v>
      </c>
      <c r="K282" s="58">
        <v>49.14</v>
      </c>
      <c r="L282" s="58">
        <v>0.01</v>
      </c>
    </row>
    <row r="283" spans="1:12" ht="92.25" thickBot="1">
      <c r="A283" s="61" t="s">
        <v>45</v>
      </c>
      <c r="B283" s="62" t="s">
        <v>114</v>
      </c>
      <c r="C283" s="55">
        <v>35</v>
      </c>
      <c r="D283" s="58">
        <v>2.8</v>
      </c>
      <c r="E283" s="58">
        <v>0.35</v>
      </c>
      <c r="F283" s="58">
        <v>19.87</v>
      </c>
      <c r="G283" s="58">
        <v>82.6</v>
      </c>
      <c r="H283" s="58">
        <v>0.05</v>
      </c>
      <c r="I283" s="58">
        <v>0.02</v>
      </c>
      <c r="J283" s="58">
        <v>0</v>
      </c>
      <c r="K283" s="58">
        <v>8.4</v>
      </c>
      <c r="L283" s="58">
        <v>0.7</v>
      </c>
    </row>
    <row r="284" spans="1:12" ht="92.25" thickBot="1">
      <c r="A284" s="61" t="s">
        <v>45</v>
      </c>
      <c r="B284" s="62" t="s">
        <v>144</v>
      </c>
      <c r="C284" s="55">
        <v>45</v>
      </c>
      <c r="D284" s="58">
        <v>2.52</v>
      </c>
      <c r="E284" s="58">
        <v>0.54</v>
      </c>
      <c r="F284" s="58">
        <v>22.23</v>
      </c>
      <c r="G284" s="58">
        <v>104.4</v>
      </c>
      <c r="H284" s="58">
        <v>0.05</v>
      </c>
      <c r="I284" s="58">
        <v>0.02</v>
      </c>
      <c r="J284" s="58">
        <v>0</v>
      </c>
      <c r="K284" s="58">
        <v>10.8</v>
      </c>
      <c r="L284" s="58">
        <v>1.44</v>
      </c>
    </row>
    <row r="285" spans="1:12" ht="46.5" thickBot="1">
      <c r="A285" s="121"/>
      <c r="B285" s="124" t="s">
        <v>37</v>
      </c>
      <c r="C285" s="55"/>
      <c r="D285" s="56">
        <f aca="true" t="shared" si="38" ref="D285:L285">SUM(D277:D284)</f>
        <v>27.66</v>
      </c>
      <c r="E285" s="56">
        <f t="shared" si="38"/>
        <v>30.150000000000002</v>
      </c>
      <c r="F285" s="56">
        <f t="shared" si="38"/>
        <v>103.17</v>
      </c>
      <c r="G285" s="56">
        <f t="shared" si="38"/>
        <v>823.5</v>
      </c>
      <c r="H285" s="56">
        <f t="shared" si="38"/>
        <v>0.31</v>
      </c>
      <c r="I285" s="56">
        <f t="shared" si="38"/>
        <v>0.34</v>
      </c>
      <c r="J285" s="56">
        <f t="shared" si="38"/>
        <v>29.339999999999996</v>
      </c>
      <c r="K285" s="56">
        <f t="shared" si="38"/>
        <v>220.48</v>
      </c>
      <c r="L285" s="56">
        <f t="shared" si="38"/>
        <v>6</v>
      </c>
    </row>
    <row r="286" spans="1:12" ht="46.5" thickBot="1">
      <c r="A286" s="182" t="s">
        <v>207</v>
      </c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50"/>
    </row>
    <row r="287" spans="1:12" ht="92.25" thickBot="1">
      <c r="A287" s="121">
        <v>55</v>
      </c>
      <c r="B287" s="62" t="s">
        <v>131</v>
      </c>
      <c r="C287" s="64" t="s">
        <v>150</v>
      </c>
      <c r="D287" s="58">
        <v>11.2</v>
      </c>
      <c r="E287" s="58">
        <v>12.69</v>
      </c>
      <c r="F287" s="58">
        <v>40.2</v>
      </c>
      <c r="G287" s="58">
        <v>498.3</v>
      </c>
      <c r="H287" s="58">
        <v>0.1</v>
      </c>
      <c r="I287" s="58">
        <v>0.3</v>
      </c>
      <c r="J287" s="58">
        <v>0.43</v>
      </c>
      <c r="K287" s="58">
        <v>249.46</v>
      </c>
      <c r="L287" s="58">
        <v>1.11</v>
      </c>
    </row>
    <row r="288" spans="1:12" ht="46.5" thickBot="1">
      <c r="A288" s="121">
        <v>13</v>
      </c>
      <c r="B288" s="54" t="s">
        <v>9</v>
      </c>
      <c r="C288" s="63" t="s">
        <v>148</v>
      </c>
      <c r="D288" s="58">
        <v>0</v>
      </c>
      <c r="E288" s="58">
        <v>0</v>
      </c>
      <c r="F288" s="58">
        <v>11.98</v>
      </c>
      <c r="G288" s="58">
        <v>43</v>
      </c>
      <c r="H288" s="58">
        <v>0</v>
      </c>
      <c r="I288" s="58">
        <v>0</v>
      </c>
      <c r="J288" s="58">
        <v>0</v>
      </c>
      <c r="K288" s="58">
        <v>0.35</v>
      </c>
      <c r="L288" s="58">
        <v>0.06</v>
      </c>
    </row>
    <row r="289" spans="1:12" ht="46.5" thickBot="1">
      <c r="A289" s="61">
        <v>21</v>
      </c>
      <c r="B289" s="125" t="s">
        <v>38</v>
      </c>
      <c r="C289" s="64" t="s">
        <v>34</v>
      </c>
      <c r="D289" s="56">
        <v>4.35</v>
      </c>
      <c r="E289" s="56">
        <v>4.8</v>
      </c>
      <c r="F289" s="56">
        <v>6</v>
      </c>
      <c r="G289" s="56">
        <v>88.5</v>
      </c>
      <c r="H289" s="56">
        <v>0.04</v>
      </c>
      <c r="I289" s="56">
        <v>0.26</v>
      </c>
      <c r="J289" s="56">
        <v>1.05</v>
      </c>
      <c r="K289" s="56">
        <v>180</v>
      </c>
      <c r="L289" s="56">
        <v>0.15</v>
      </c>
    </row>
    <row r="290" spans="1:12" ht="275.25" thickBot="1">
      <c r="A290" s="61" t="s">
        <v>45</v>
      </c>
      <c r="B290" s="62" t="s">
        <v>134</v>
      </c>
      <c r="C290" s="64" t="s">
        <v>164</v>
      </c>
      <c r="D290" s="58">
        <v>1.35</v>
      </c>
      <c r="E290" s="58">
        <v>1.8</v>
      </c>
      <c r="F290" s="58">
        <v>31.5</v>
      </c>
      <c r="G290" s="58">
        <v>130.77</v>
      </c>
      <c r="H290" s="58">
        <v>0.03</v>
      </c>
      <c r="I290" s="58">
        <v>0.01</v>
      </c>
      <c r="J290" s="58">
        <v>0</v>
      </c>
      <c r="K290" s="58">
        <v>5.4</v>
      </c>
      <c r="L290" s="58">
        <v>0.36</v>
      </c>
    </row>
    <row r="291" spans="1:12" ht="46.5" thickBot="1">
      <c r="A291" s="115"/>
      <c r="B291" s="62" t="s">
        <v>8</v>
      </c>
      <c r="C291" s="64"/>
      <c r="D291" s="58">
        <f>SUM(D287:D290)</f>
        <v>16.9</v>
      </c>
      <c r="E291" s="58">
        <f aca="true" t="shared" si="39" ref="E291:L291">SUM(E287:E290)</f>
        <v>19.29</v>
      </c>
      <c r="F291" s="58">
        <f t="shared" si="39"/>
        <v>89.68</v>
      </c>
      <c r="G291" s="58">
        <f t="shared" si="39"/>
        <v>760.5699999999999</v>
      </c>
      <c r="H291" s="58">
        <f t="shared" si="39"/>
        <v>0.17</v>
      </c>
      <c r="I291" s="58">
        <f t="shared" si="39"/>
        <v>0.5700000000000001</v>
      </c>
      <c r="J291" s="58">
        <f t="shared" si="39"/>
        <v>1.48</v>
      </c>
      <c r="K291" s="58">
        <f t="shared" si="39"/>
        <v>435.21</v>
      </c>
      <c r="L291" s="58">
        <f t="shared" si="39"/>
        <v>1.6800000000000002</v>
      </c>
    </row>
    <row r="292" spans="1:12" ht="53.25" thickBot="1">
      <c r="A292" s="61"/>
      <c r="B292" s="62"/>
      <c r="C292" s="64"/>
      <c r="D292" s="111" t="s">
        <v>1</v>
      </c>
      <c r="E292" s="112" t="s">
        <v>2</v>
      </c>
      <c r="F292" s="112" t="s">
        <v>3</v>
      </c>
      <c r="G292" s="126" t="s">
        <v>4</v>
      </c>
      <c r="H292" s="113" t="s">
        <v>251</v>
      </c>
      <c r="I292" s="113" t="s">
        <v>252</v>
      </c>
      <c r="J292" s="112" t="s">
        <v>6</v>
      </c>
      <c r="K292" s="112" t="s">
        <v>31</v>
      </c>
      <c r="L292" s="112" t="s">
        <v>5</v>
      </c>
    </row>
    <row r="293" spans="1:12" ht="46.5" thickBot="1">
      <c r="A293" s="61"/>
      <c r="B293" s="127" t="s">
        <v>12</v>
      </c>
      <c r="C293" s="64"/>
      <c r="D293" s="58">
        <f>SUM(D270+D275+D285++D291)</f>
        <v>59.23</v>
      </c>
      <c r="E293" s="58">
        <f aca="true" t="shared" si="40" ref="E293:L293">SUM(E270+E275+E285++E291)</f>
        <v>68.93</v>
      </c>
      <c r="F293" s="58">
        <f t="shared" si="40"/>
        <v>270.16</v>
      </c>
      <c r="G293" s="58">
        <f t="shared" si="40"/>
        <v>2145.96</v>
      </c>
      <c r="H293" s="58">
        <f t="shared" si="40"/>
        <v>0.67</v>
      </c>
      <c r="I293" s="58">
        <f t="shared" si="40"/>
        <v>1.09</v>
      </c>
      <c r="J293" s="58">
        <f t="shared" si="40"/>
        <v>44.90999999999999</v>
      </c>
      <c r="K293" s="58">
        <f t="shared" si="40"/>
        <v>1113.66</v>
      </c>
      <c r="L293" s="58">
        <f t="shared" si="40"/>
        <v>10.879999999999999</v>
      </c>
    </row>
    <row r="294" spans="1:12" ht="46.5" thickBot="1">
      <c r="A294" s="61"/>
      <c r="B294" s="127" t="s">
        <v>13</v>
      </c>
      <c r="C294" s="64"/>
      <c r="D294" s="58">
        <v>51.3</v>
      </c>
      <c r="E294" s="58">
        <v>57</v>
      </c>
      <c r="F294" s="58">
        <v>247.95</v>
      </c>
      <c r="G294" s="58">
        <v>1710</v>
      </c>
      <c r="H294" s="58">
        <v>0.86</v>
      </c>
      <c r="I294" s="58">
        <v>0.95</v>
      </c>
      <c r="J294" s="58">
        <v>47.5</v>
      </c>
      <c r="K294" s="58">
        <v>855</v>
      </c>
      <c r="L294" s="58">
        <v>9.5</v>
      </c>
    </row>
    <row r="295" spans="1:12" ht="136.5" thickBot="1">
      <c r="A295" s="115"/>
      <c r="B295" s="128" t="s">
        <v>14</v>
      </c>
      <c r="C295" s="112"/>
      <c r="D295" s="129">
        <f aca="true" t="shared" si="41" ref="D295:L295">D293*100/D294</f>
        <v>115.458089668616</v>
      </c>
      <c r="E295" s="129">
        <f t="shared" si="41"/>
        <v>120.92982456140352</v>
      </c>
      <c r="F295" s="129">
        <f t="shared" si="41"/>
        <v>108.95745109901192</v>
      </c>
      <c r="G295" s="129">
        <f t="shared" si="41"/>
        <v>125.49473684210527</v>
      </c>
      <c r="H295" s="129">
        <f t="shared" si="41"/>
        <v>77.90697674418605</v>
      </c>
      <c r="I295" s="129">
        <f t="shared" si="41"/>
        <v>114.73684210526318</v>
      </c>
      <c r="J295" s="129">
        <f t="shared" si="41"/>
        <v>94.54736842105261</v>
      </c>
      <c r="K295" s="129">
        <f t="shared" si="41"/>
        <v>130.2526315789474</v>
      </c>
      <c r="L295" s="129">
        <f t="shared" si="41"/>
        <v>114.52631578947368</v>
      </c>
    </row>
    <row r="296" spans="1:12" ht="45.75">
      <c r="A296" s="130"/>
      <c r="B296" s="102"/>
      <c r="C296" s="131"/>
      <c r="D296" s="132"/>
      <c r="E296" s="132"/>
      <c r="F296" s="132"/>
      <c r="G296" s="132"/>
      <c r="H296" s="132"/>
      <c r="I296" s="132"/>
      <c r="J296" s="132"/>
      <c r="K296" s="132"/>
      <c r="L296" s="132"/>
    </row>
    <row r="297" spans="1:12" ht="45.75">
      <c r="A297" s="130"/>
      <c r="B297" s="100" t="s">
        <v>182</v>
      </c>
      <c r="C297" s="100"/>
      <c r="E297" s="132"/>
      <c r="F297" s="132"/>
      <c r="G297" s="132"/>
      <c r="H297" s="132"/>
      <c r="I297" s="132"/>
      <c r="J297" s="132"/>
      <c r="K297" s="132"/>
      <c r="L297" s="132"/>
    </row>
    <row r="298" spans="1:12" ht="53.25">
      <c r="A298" s="130"/>
      <c r="B298" s="100" t="s">
        <v>254</v>
      </c>
      <c r="L298" s="132"/>
    </row>
    <row r="299" spans="1:12" ht="45.75">
      <c r="A299" s="130"/>
      <c r="B299" s="100" t="s">
        <v>180</v>
      </c>
      <c r="L299" s="132"/>
    </row>
    <row r="300" spans="1:12" ht="45.75">
      <c r="A300" s="130"/>
      <c r="B300" s="100" t="s">
        <v>179</v>
      </c>
      <c r="L300" s="132"/>
    </row>
    <row r="301" spans="1:12" ht="45.75">
      <c r="A301" s="130"/>
      <c r="L301" s="132"/>
    </row>
    <row r="302" spans="1:12" ht="45.75">
      <c r="A302" s="174" t="s">
        <v>103</v>
      </c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</row>
    <row r="303" spans="1:12" ht="45.75">
      <c r="A303" s="174" t="s">
        <v>106</v>
      </c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</row>
    <row r="304" spans="1:12" ht="45.75">
      <c r="A304" s="175" t="s">
        <v>99</v>
      </c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</row>
    <row r="305" spans="1:12" ht="46.5" thickBot="1">
      <c r="A305" s="176"/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</row>
    <row r="306" spans="1:12" ht="46.5" thickBot="1">
      <c r="A306" s="177" t="s">
        <v>39</v>
      </c>
      <c r="B306" s="152" t="s">
        <v>100</v>
      </c>
      <c r="C306" s="104" t="s">
        <v>27</v>
      </c>
      <c r="D306" s="179" t="s">
        <v>28</v>
      </c>
      <c r="E306" s="180"/>
      <c r="F306" s="181"/>
      <c r="G306" s="152" t="s">
        <v>101</v>
      </c>
      <c r="H306" s="179" t="s">
        <v>29</v>
      </c>
      <c r="I306" s="180"/>
      <c r="J306" s="181"/>
      <c r="K306" s="179" t="s">
        <v>30</v>
      </c>
      <c r="L306" s="181"/>
    </row>
    <row r="307" spans="1:12" ht="53.25" thickBot="1">
      <c r="A307" s="178"/>
      <c r="B307" s="103"/>
      <c r="C307" s="105"/>
      <c r="D307" s="111" t="s">
        <v>1</v>
      </c>
      <c r="E307" s="112" t="s">
        <v>2</v>
      </c>
      <c r="F307" s="112" t="s">
        <v>3</v>
      </c>
      <c r="G307" s="103"/>
      <c r="H307" s="113" t="s">
        <v>251</v>
      </c>
      <c r="I307" s="135" t="s">
        <v>252</v>
      </c>
      <c r="J307" s="112" t="s">
        <v>6</v>
      </c>
      <c r="K307" s="112" t="s">
        <v>31</v>
      </c>
      <c r="L307" s="112" t="s">
        <v>5</v>
      </c>
    </row>
    <row r="308" spans="1:12" ht="46.5" thickBot="1">
      <c r="A308" s="110">
        <v>1</v>
      </c>
      <c r="B308" s="116">
        <v>2</v>
      </c>
      <c r="C308" s="117">
        <v>3</v>
      </c>
      <c r="D308" s="136">
        <v>4</v>
      </c>
      <c r="E308" s="116">
        <v>5</v>
      </c>
      <c r="F308" s="116">
        <v>6</v>
      </c>
      <c r="G308" s="116">
        <v>7</v>
      </c>
      <c r="H308" s="137">
        <v>8</v>
      </c>
      <c r="I308" s="116">
        <v>9</v>
      </c>
      <c r="J308" s="116">
        <v>10</v>
      </c>
      <c r="K308" s="137">
        <v>11</v>
      </c>
      <c r="L308" s="116">
        <v>12</v>
      </c>
    </row>
    <row r="309" spans="1:12" ht="46.5" thickBot="1">
      <c r="A309" s="179" t="s">
        <v>7</v>
      </c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1"/>
    </row>
    <row r="310" spans="1:12" ht="92.25" thickBot="1">
      <c r="A310" s="121">
        <v>37</v>
      </c>
      <c r="B310" s="124" t="s">
        <v>53</v>
      </c>
      <c r="C310" s="55">
        <v>100</v>
      </c>
      <c r="D310" s="56">
        <v>9.01</v>
      </c>
      <c r="E310" s="56">
        <v>12.51</v>
      </c>
      <c r="F310" s="56">
        <v>2.24</v>
      </c>
      <c r="G310" s="56">
        <v>156.25</v>
      </c>
      <c r="H310" s="56">
        <v>0.05</v>
      </c>
      <c r="I310" s="56">
        <v>0.04</v>
      </c>
      <c r="J310" s="56">
        <v>0.49</v>
      </c>
      <c r="K310" s="56">
        <v>79.98</v>
      </c>
      <c r="L310" s="56">
        <v>1.2</v>
      </c>
    </row>
    <row r="311" spans="1:12" ht="138" thickBot="1">
      <c r="A311" s="121">
        <v>38</v>
      </c>
      <c r="B311" s="62" t="s">
        <v>137</v>
      </c>
      <c r="C311" s="64" t="s">
        <v>51</v>
      </c>
      <c r="D311" s="58">
        <v>3</v>
      </c>
      <c r="E311" s="58">
        <v>0.12</v>
      </c>
      <c r="F311" s="58">
        <v>4.98</v>
      </c>
      <c r="G311" s="58">
        <v>33</v>
      </c>
      <c r="H311" s="58">
        <v>0.2</v>
      </c>
      <c r="I311" s="58">
        <v>0.11</v>
      </c>
      <c r="J311" s="58">
        <v>6</v>
      </c>
      <c r="K311" s="58">
        <v>15.6</v>
      </c>
      <c r="L311" s="58">
        <v>0.42</v>
      </c>
    </row>
    <row r="312" spans="1:12" ht="46.5" thickBot="1">
      <c r="A312" s="61">
        <v>15</v>
      </c>
      <c r="B312" s="62" t="s">
        <v>18</v>
      </c>
      <c r="C312" s="55">
        <v>180</v>
      </c>
      <c r="D312" s="58">
        <v>1.2</v>
      </c>
      <c r="E312" s="58">
        <v>1.3</v>
      </c>
      <c r="F312" s="58">
        <v>13</v>
      </c>
      <c r="G312" s="58">
        <v>90</v>
      </c>
      <c r="H312" s="123">
        <v>0.03</v>
      </c>
      <c r="I312" s="123">
        <v>0.03</v>
      </c>
      <c r="J312" s="123">
        <v>1</v>
      </c>
      <c r="K312" s="58">
        <v>109.78</v>
      </c>
      <c r="L312" s="58">
        <v>0.02</v>
      </c>
    </row>
    <row r="313" spans="1:12" ht="46.5" thickBot="1">
      <c r="A313" s="61">
        <v>16</v>
      </c>
      <c r="B313" s="62" t="s">
        <v>54</v>
      </c>
      <c r="C313" s="63" t="s">
        <v>205</v>
      </c>
      <c r="D313" s="58">
        <v>2.3</v>
      </c>
      <c r="E313" s="58">
        <v>4.36</v>
      </c>
      <c r="F313" s="58">
        <v>14.62</v>
      </c>
      <c r="G313" s="58">
        <v>108</v>
      </c>
      <c r="H313" s="58">
        <v>0.03</v>
      </c>
      <c r="I313" s="58">
        <v>0.03</v>
      </c>
      <c r="J313" s="58">
        <v>0</v>
      </c>
      <c r="K313" s="58">
        <v>6.6</v>
      </c>
      <c r="L313" s="58">
        <v>0.34</v>
      </c>
    </row>
    <row r="314" spans="1:12" ht="46.5" thickBot="1">
      <c r="A314" s="61"/>
      <c r="B314" s="62" t="s">
        <v>8</v>
      </c>
      <c r="C314" s="64"/>
      <c r="D314" s="58">
        <f>SUM(D310:D313)</f>
        <v>15.509999999999998</v>
      </c>
      <c r="E314" s="58">
        <f aca="true" t="shared" si="42" ref="E314:L314">SUM(E310:E313)</f>
        <v>18.29</v>
      </c>
      <c r="F314" s="58">
        <f t="shared" si="42"/>
        <v>34.839999999999996</v>
      </c>
      <c r="G314" s="58">
        <f t="shared" si="42"/>
        <v>387.25</v>
      </c>
      <c r="H314" s="58">
        <f t="shared" si="42"/>
        <v>0.31000000000000005</v>
      </c>
      <c r="I314" s="58">
        <f t="shared" si="42"/>
        <v>0.21</v>
      </c>
      <c r="J314" s="58">
        <f t="shared" si="42"/>
        <v>7.49</v>
      </c>
      <c r="K314" s="58">
        <f t="shared" si="42"/>
        <v>211.96</v>
      </c>
      <c r="L314" s="58">
        <f t="shared" si="42"/>
        <v>1.98</v>
      </c>
    </row>
    <row r="315" spans="1:12" ht="46.5" thickBot="1">
      <c r="A315" s="179" t="s">
        <v>107</v>
      </c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1"/>
    </row>
    <row r="316" spans="1:12" ht="46.5" thickBot="1">
      <c r="A316" s="61" t="s">
        <v>45</v>
      </c>
      <c r="B316" s="62" t="s">
        <v>108</v>
      </c>
      <c r="C316" s="63" t="s">
        <v>238</v>
      </c>
      <c r="D316" s="58">
        <v>0.18</v>
      </c>
      <c r="E316" s="58">
        <v>0.09</v>
      </c>
      <c r="F316" s="58">
        <v>9.09</v>
      </c>
      <c r="G316" s="58">
        <v>41.4</v>
      </c>
      <c r="H316" s="58">
        <v>0.01</v>
      </c>
      <c r="I316" s="58">
        <v>0.01</v>
      </c>
      <c r="J316" s="58">
        <v>1.8</v>
      </c>
      <c r="K316" s="58">
        <v>6.3</v>
      </c>
      <c r="L316" s="58">
        <v>0.18</v>
      </c>
    </row>
    <row r="317" spans="1:12" ht="54" thickBot="1">
      <c r="A317" s="61" t="s">
        <v>45</v>
      </c>
      <c r="B317" s="62" t="s">
        <v>255</v>
      </c>
      <c r="C317" s="55">
        <v>110</v>
      </c>
      <c r="D317" s="58">
        <v>0.39</v>
      </c>
      <c r="E317" s="58">
        <v>0.29</v>
      </c>
      <c r="F317" s="58">
        <v>10.19</v>
      </c>
      <c r="G317" s="58">
        <v>46.53</v>
      </c>
      <c r="H317" s="58">
        <v>0.02</v>
      </c>
      <c r="I317" s="58">
        <v>0.04</v>
      </c>
      <c r="J317" s="58">
        <v>4.95</v>
      </c>
      <c r="K317" s="58">
        <v>18.81</v>
      </c>
      <c r="L317" s="58">
        <v>2.27</v>
      </c>
    </row>
    <row r="318" spans="1:12" ht="46.5" thickBot="1">
      <c r="A318" s="61"/>
      <c r="B318" s="62" t="s">
        <v>8</v>
      </c>
      <c r="C318" s="64"/>
      <c r="D318" s="58">
        <f>SUM(D316:D317)</f>
        <v>0.5700000000000001</v>
      </c>
      <c r="E318" s="58">
        <f aca="true" t="shared" si="43" ref="E318:L318">SUM(E316:E317)</f>
        <v>0.38</v>
      </c>
      <c r="F318" s="58">
        <f t="shared" si="43"/>
        <v>19.28</v>
      </c>
      <c r="G318" s="58">
        <f t="shared" si="43"/>
        <v>87.93</v>
      </c>
      <c r="H318" s="58">
        <f t="shared" si="43"/>
        <v>0.03</v>
      </c>
      <c r="I318" s="58">
        <f t="shared" si="43"/>
        <v>0.05</v>
      </c>
      <c r="J318" s="58">
        <f t="shared" si="43"/>
        <v>6.75</v>
      </c>
      <c r="K318" s="58">
        <f t="shared" si="43"/>
        <v>25.11</v>
      </c>
      <c r="L318" s="58">
        <f t="shared" si="43"/>
        <v>2.45</v>
      </c>
    </row>
    <row r="319" spans="1:12" ht="46.5" thickBot="1">
      <c r="A319" s="179" t="s">
        <v>10</v>
      </c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1"/>
    </row>
    <row r="320" spans="1:13" ht="138" thickBot="1">
      <c r="A320" s="121">
        <v>83</v>
      </c>
      <c r="B320" s="140" t="s">
        <v>195</v>
      </c>
      <c r="C320" s="63" t="s">
        <v>51</v>
      </c>
      <c r="D320" s="58">
        <v>1</v>
      </c>
      <c r="E320" s="58">
        <v>5.07</v>
      </c>
      <c r="F320" s="58">
        <v>3.03</v>
      </c>
      <c r="G320" s="58">
        <v>57</v>
      </c>
      <c r="H320" s="58">
        <v>0.03</v>
      </c>
      <c r="I320" s="58">
        <v>0.04</v>
      </c>
      <c r="J320" s="58">
        <v>2.85</v>
      </c>
      <c r="K320" s="58">
        <v>20.12</v>
      </c>
      <c r="L320" s="58">
        <v>0.31</v>
      </c>
      <c r="M320" s="120"/>
    </row>
    <row r="321" spans="1:13" ht="92.25" thickBot="1">
      <c r="A321" s="61">
        <v>41</v>
      </c>
      <c r="B321" s="62" t="s">
        <v>44</v>
      </c>
      <c r="C321" s="64" t="s">
        <v>154</v>
      </c>
      <c r="D321" s="58">
        <v>6.5</v>
      </c>
      <c r="E321" s="58">
        <v>5.3</v>
      </c>
      <c r="F321" s="58">
        <v>14.52</v>
      </c>
      <c r="G321" s="58">
        <v>191</v>
      </c>
      <c r="H321" s="58">
        <v>0.14</v>
      </c>
      <c r="I321" s="58">
        <v>0.08</v>
      </c>
      <c r="J321" s="58">
        <v>10.52</v>
      </c>
      <c r="K321" s="58">
        <v>31.07</v>
      </c>
      <c r="L321" s="58">
        <v>1.6</v>
      </c>
      <c r="M321" s="120"/>
    </row>
    <row r="322" spans="1:13" s="120" customFormat="1" ht="46.5" thickBot="1">
      <c r="A322" s="61">
        <v>19</v>
      </c>
      <c r="B322" s="62" t="s">
        <v>72</v>
      </c>
      <c r="C322" s="64" t="s">
        <v>32</v>
      </c>
      <c r="D322" s="58">
        <v>7.5</v>
      </c>
      <c r="E322" s="58">
        <v>5.3</v>
      </c>
      <c r="F322" s="58">
        <v>14.66</v>
      </c>
      <c r="G322" s="58">
        <v>227.27</v>
      </c>
      <c r="H322" s="58">
        <v>0.13</v>
      </c>
      <c r="I322" s="58">
        <v>0.03</v>
      </c>
      <c r="J322" s="58">
        <v>8.17</v>
      </c>
      <c r="K322" s="58">
        <v>59.04</v>
      </c>
      <c r="L322" s="58">
        <v>0.97</v>
      </c>
      <c r="M322" s="100"/>
    </row>
    <row r="323" spans="1:13" s="120" customFormat="1" ht="46.5" thickBot="1">
      <c r="A323" s="61">
        <v>20</v>
      </c>
      <c r="B323" s="62" t="s">
        <v>43</v>
      </c>
      <c r="C323" s="55">
        <v>200</v>
      </c>
      <c r="D323" s="58">
        <v>0</v>
      </c>
      <c r="E323" s="58">
        <v>0</v>
      </c>
      <c r="F323" s="58">
        <v>18</v>
      </c>
      <c r="G323" s="58">
        <v>60</v>
      </c>
      <c r="H323" s="58">
        <v>0</v>
      </c>
      <c r="I323" s="58">
        <v>0</v>
      </c>
      <c r="J323" s="58">
        <v>0</v>
      </c>
      <c r="K323" s="58">
        <v>0.48</v>
      </c>
      <c r="L323" s="58">
        <v>0.07</v>
      </c>
      <c r="M323" s="100"/>
    </row>
    <row r="324" spans="1:12" ht="92.25" thickBot="1">
      <c r="A324" s="61" t="s">
        <v>45</v>
      </c>
      <c r="B324" s="62" t="s">
        <v>114</v>
      </c>
      <c r="C324" s="55">
        <v>35</v>
      </c>
      <c r="D324" s="58">
        <v>2.8</v>
      </c>
      <c r="E324" s="58">
        <v>0.35</v>
      </c>
      <c r="F324" s="58">
        <v>19.87</v>
      </c>
      <c r="G324" s="58">
        <v>82.6</v>
      </c>
      <c r="H324" s="58">
        <v>0.05</v>
      </c>
      <c r="I324" s="58">
        <v>0.02</v>
      </c>
      <c r="J324" s="58">
        <v>0</v>
      </c>
      <c r="K324" s="58">
        <v>8.4</v>
      </c>
      <c r="L324" s="58">
        <v>0.7</v>
      </c>
    </row>
    <row r="325" spans="1:12" ht="92.25" thickBot="1">
      <c r="A325" s="61" t="s">
        <v>45</v>
      </c>
      <c r="B325" s="62" t="s">
        <v>144</v>
      </c>
      <c r="C325" s="55">
        <v>45</v>
      </c>
      <c r="D325" s="58">
        <v>2.52</v>
      </c>
      <c r="E325" s="58">
        <v>0.54</v>
      </c>
      <c r="F325" s="58">
        <v>22.23</v>
      </c>
      <c r="G325" s="58">
        <v>104.4</v>
      </c>
      <c r="H325" s="58">
        <v>0.05</v>
      </c>
      <c r="I325" s="58">
        <v>0.02</v>
      </c>
      <c r="J325" s="58">
        <v>0</v>
      </c>
      <c r="K325" s="58">
        <v>10.8</v>
      </c>
      <c r="L325" s="58">
        <v>1.44</v>
      </c>
    </row>
    <row r="326" spans="1:12" ht="46.5" thickBot="1">
      <c r="A326" s="121"/>
      <c r="B326" s="124" t="s">
        <v>37</v>
      </c>
      <c r="C326" s="55"/>
      <c r="D326" s="56">
        <f>SUM(D320:D325)</f>
        <v>20.32</v>
      </c>
      <c r="E326" s="56">
        <f aca="true" t="shared" si="44" ref="E326:L326">SUM(E320:E325)</f>
        <v>16.560000000000002</v>
      </c>
      <c r="F326" s="56">
        <f t="shared" si="44"/>
        <v>92.31</v>
      </c>
      <c r="G326" s="56">
        <f t="shared" si="44"/>
        <v>722.27</v>
      </c>
      <c r="H326" s="56">
        <f t="shared" si="44"/>
        <v>0.4</v>
      </c>
      <c r="I326" s="56">
        <f t="shared" si="44"/>
        <v>0.18999999999999997</v>
      </c>
      <c r="J326" s="56">
        <f t="shared" si="44"/>
        <v>21.54</v>
      </c>
      <c r="K326" s="56">
        <f t="shared" si="44"/>
        <v>129.91</v>
      </c>
      <c r="L326" s="56">
        <f t="shared" si="44"/>
        <v>5.09</v>
      </c>
    </row>
    <row r="327" spans="1:12" ht="46.5" thickBot="1">
      <c r="A327" s="182" t="s">
        <v>207</v>
      </c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50"/>
    </row>
    <row r="328" spans="1:12" ht="92.25" thickBot="1">
      <c r="A328" s="121">
        <v>29</v>
      </c>
      <c r="B328" s="62" t="s">
        <v>75</v>
      </c>
      <c r="C328" s="64" t="s">
        <v>35</v>
      </c>
      <c r="D328" s="58">
        <v>7.8</v>
      </c>
      <c r="E328" s="58">
        <v>4.35</v>
      </c>
      <c r="F328" s="58">
        <v>28.3</v>
      </c>
      <c r="G328" s="58">
        <v>114</v>
      </c>
      <c r="H328" s="58">
        <v>0.06</v>
      </c>
      <c r="I328" s="58">
        <v>0.09</v>
      </c>
      <c r="J328" s="58">
        <v>0.42</v>
      </c>
      <c r="K328" s="58">
        <v>44.1</v>
      </c>
      <c r="L328" s="58">
        <v>0.88</v>
      </c>
    </row>
    <row r="329" spans="1:12" ht="46.5" thickBot="1">
      <c r="A329" s="121">
        <v>79</v>
      </c>
      <c r="B329" s="62" t="s">
        <v>135</v>
      </c>
      <c r="C329" s="64" t="s">
        <v>178</v>
      </c>
      <c r="D329" s="58">
        <v>2.51</v>
      </c>
      <c r="E329" s="58">
        <v>9.68</v>
      </c>
      <c r="F329" s="58">
        <v>13.42</v>
      </c>
      <c r="G329" s="58">
        <v>147.6</v>
      </c>
      <c r="H329" s="58">
        <v>0.1</v>
      </c>
      <c r="I329" s="58">
        <v>0.11</v>
      </c>
      <c r="J329" s="58">
        <v>5.9</v>
      </c>
      <c r="K329" s="58">
        <v>94.68</v>
      </c>
      <c r="L329" s="58">
        <v>1.32</v>
      </c>
    </row>
    <row r="330" spans="1:12" ht="46.5" thickBot="1">
      <c r="A330" s="53">
        <v>31</v>
      </c>
      <c r="B330" s="54" t="s">
        <v>11</v>
      </c>
      <c r="C330" s="55" t="s">
        <v>149</v>
      </c>
      <c r="D330" s="56">
        <v>0.04</v>
      </c>
      <c r="E330" s="56">
        <v>0</v>
      </c>
      <c r="F330" s="56">
        <v>12.13</v>
      </c>
      <c r="G330" s="56">
        <v>47</v>
      </c>
      <c r="H330" s="56">
        <v>0</v>
      </c>
      <c r="I330" s="56">
        <v>0</v>
      </c>
      <c r="J330" s="56">
        <v>2</v>
      </c>
      <c r="K330" s="56">
        <v>2.35</v>
      </c>
      <c r="L330" s="56">
        <v>0.09</v>
      </c>
    </row>
    <row r="331" spans="1:12" ht="92.25" thickBot="1">
      <c r="A331" s="61" t="s">
        <v>45</v>
      </c>
      <c r="B331" s="62" t="s">
        <v>114</v>
      </c>
      <c r="C331" s="55">
        <v>30</v>
      </c>
      <c r="D331" s="58">
        <v>2.4</v>
      </c>
      <c r="E331" s="58">
        <v>0.3</v>
      </c>
      <c r="F331" s="58">
        <v>14.46</v>
      </c>
      <c r="G331" s="58">
        <v>70.8</v>
      </c>
      <c r="H331" s="58">
        <v>0.05</v>
      </c>
      <c r="I331" s="58">
        <v>0.02</v>
      </c>
      <c r="J331" s="58">
        <v>0</v>
      </c>
      <c r="K331" s="58">
        <v>7.2</v>
      </c>
      <c r="L331" s="58">
        <v>0.6</v>
      </c>
    </row>
    <row r="332" spans="1:12" ht="46.5" thickBot="1">
      <c r="A332" s="61">
        <v>21</v>
      </c>
      <c r="B332" s="125" t="s">
        <v>38</v>
      </c>
      <c r="C332" s="64" t="s">
        <v>34</v>
      </c>
      <c r="D332" s="56">
        <v>4.35</v>
      </c>
      <c r="E332" s="56">
        <v>4.8</v>
      </c>
      <c r="F332" s="56">
        <v>6</v>
      </c>
      <c r="G332" s="56">
        <v>88.5</v>
      </c>
      <c r="H332" s="56">
        <v>0.04</v>
      </c>
      <c r="I332" s="56">
        <v>0.26</v>
      </c>
      <c r="J332" s="56">
        <v>1.05</v>
      </c>
      <c r="K332" s="56">
        <v>180</v>
      </c>
      <c r="L332" s="56">
        <v>0.15</v>
      </c>
    </row>
    <row r="333" spans="1:12" ht="138" thickBot="1">
      <c r="A333" s="53">
        <v>43</v>
      </c>
      <c r="B333" s="54" t="s">
        <v>88</v>
      </c>
      <c r="C333" s="64" t="s">
        <v>146</v>
      </c>
      <c r="D333" s="58">
        <v>4.51</v>
      </c>
      <c r="E333" s="58">
        <v>5.04</v>
      </c>
      <c r="F333" s="58">
        <v>28.47</v>
      </c>
      <c r="G333" s="58">
        <v>189</v>
      </c>
      <c r="H333" s="58">
        <v>0.08</v>
      </c>
      <c r="I333" s="58">
        <v>0.04</v>
      </c>
      <c r="J333" s="58">
        <v>21.6</v>
      </c>
      <c r="K333" s="58">
        <v>30.76</v>
      </c>
      <c r="L333" s="58">
        <v>0.62</v>
      </c>
    </row>
    <row r="334" spans="1:12" ht="46.5" thickBot="1">
      <c r="A334" s="115"/>
      <c r="B334" s="62" t="s">
        <v>8</v>
      </c>
      <c r="C334" s="64"/>
      <c r="D334" s="58">
        <f>SUM(D328:D333)</f>
        <v>21.61</v>
      </c>
      <c r="E334" s="58">
        <f aca="true" t="shared" si="45" ref="E334:L334">SUM(E328:E333)</f>
        <v>24.169999999999998</v>
      </c>
      <c r="F334" s="58">
        <f t="shared" si="45"/>
        <v>102.78</v>
      </c>
      <c r="G334" s="58">
        <f t="shared" si="45"/>
        <v>656.9000000000001</v>
      </c>
      <c r="H334" s="58">
        <f t="shared" si="45"/>
        <v>0.33</v>
      </c>
      <c r="I334" s="58">
        <f t="shared" si="45"/>
        <v>0.52</v>
      </c>
      <c r="J334" s="58">
        <f t="shared" si="45"/>
        <v>30.970000000000002</v>
      </c>
      <c r="K334" s="58">
        <f t="shared" si="45"/>
        <v>359.09</v>
      </c>
      <c r="L334" s="58">
        <f t="shared" si="45"/>
        <v>3.66</v>
      </c>
    </row>
    <row r="335" spans="1:12" ht="53.25" thickBot="1">
      <c r="A335" s="61"/>
      <c r="B335" s="62"/>
      <c r="C335" s="64"/>
      <c r="D335" s="111" t="s">
        <v>1</v>
      </c>
      <c r="E335" s="112" t="s">
        <v>2</v>
      </c>
      <c r="F335" s="112" t="s">
        <v>3</v>
      </c>
      <c r="G335" s="126" t="s">
        <v>4</v>
      </c>
      <c r="H335" s="113" t="s">
        <v>251</v>
      </c>
      <c r="I335" s="113" t="s">
        <v>252</v>
      </c>
      <c r="J335" s="112" t="s">
        <v>6</v>
      </c>
      <c r="K335" s="112" t="s">
        <v>31</v>
      </c>
      <c r="L335" s="112" t="s">
        <v>5</v>
      </c>
    </row>
    <row r="336" spans="1:12" ht="46.5" thickBot="1">
      <c r="A336" s="61"/>
      <c r="B336" s="127" t="s">
        <v>12</v>
      </c>
      <c r="C336" s="64"/>
      <c r="D336" s="58">
        <f>SUM(D314+D318+D326+D334)</f>
        <v>58.01</v>
      </c>
      <c r="E336" s="58">
        <f aca="true" t="shared" si="46" ref="E336:L336">SUM(E314+E318+E326+E334)</f>
        <v>59.400000000000006</v>
      </c>
      <c r="F336" s="58">
        <f t="shared" si="46"/>
        <v>249.21</v>
      </c>
      <c r="G336" s="58">
        <f t="shared" si="46"/>
        <v>1854.3500000000001</v>
      </c>
      <c r="H336" s="58">
        <f t="shared" si="46"/>
        <v>1.07</v>
      </c>
      <c r="I336" s="58">
        <f t="shared" si="46"/>
        <v>0.97</v>
      </c>
      <c r="J336" s="58">
        <f t="shared" si="46"/>
        <v>66.75</v>
      </c>
      <c r="K336" s="58">
        <f t="shared" si="46"/>
        <v>726.0699999999999</v>
      </c>
      <c r="L336" s="58">
        <f t="shared" si="46"/>
        <v>13.18</v>
      </c>
    </row>
    <row r="337" spans="1:12" ht="46.5" thickBot="1">
      <c r="A337" s="61"/>
      <c r="B337" s="127" t="s">
        <v>13</v>
      </c>
      <c r="C337" s="64"/>
      <c r="D337" s="58">
        <v>51.3</v>
      </c>
      <c r="E337" s="58">
        <v>57</v>
      </c>
      <c r="F337" s="58">
        <v>247.95</v>
      </c>
      <c r="G337" s="58">
        <v>1710</v>
      </c>
      <c r="H337" s="58">
        <v>0.86</v>
      </c>
      <c r="I337" s="58">
        <v>0.95</v>
      </c>
      <c r="J337" s="58">
        <v>47.5</v>
      </c>
      <c r="K337" s="58">
        <v>855</v>
      </c>
      <c r="L337" s="58">
        <v>9.5</v>
      </c>
    </row>
    <row r="338" spans="1:12" ht="136.5" thickBot="1">
      <c r="A338" s="115"/>
      <c r="B338" s="128" t="s">
        <v>14</v>
      </c>
      <c r="C338" s="112"/>
      <c r="D338" s="129">
        <f aca="true" t="shared" si="47" ref="D338:L338">D336*100/D337</f>
        <v>113.07992202729045</v>
      </c>
      <c r="E338" s="129">
        <f t="shared" si="47"/>
        <v>104.2105263157895</v>
      </c>
      <c r="F338" s="129">
        <f t="shared" si="47"/>
        <v>100.50816696914701</v>
      </c>
      <c r="G338" s="129">
        <f t="shared" si="47"/>
        <v>108.44152046783626</v>
      </c>
      <c r="H338" s="129">
        <f t="shared" si="47"/>
        <v>124.4186046511628</v>
      </c>
      <c r="I338" s="129">
        <f t="shared" si="47"/>
        <v>102.10526315789474</v>
      </c>
      <c r="J338" s="129">
        <f t="shared" si="47"/>
        <v>140.52631578947367</v>
      </c>
      <c r="K338" s="129">
        <f t="shared" si="47"/>
        <v>84.92046783625732</v>
      </c>
      <c r="L338" s="129">
        <f t="shared" si="47"/>
        <v>138.73684210526315</v>
      </c>
    </row>
    <row r="339" spans="1:12" ht="45.75">
      <c r="A339" s="130"/>
      <c r="B339" s="102"/>
      <c r="C339" s="131"/>
      <c r="D339" s="132"/>
      <c r="E339" s="132"/>
      <c r="F339" s="132"/>
      <c r="G339" s="132"/>
      <c r="H339" s="132"/>
      <c r="I339" s="132"/>
      <c r="J339" s="132"/>
      <c r="K339" s="132"/>
      <c r="L339" s="132"/>
    </row>
    <row r="340" spans="1:12" ht="45.75">
      <c r="A340" s="130"/>
      <c r="B340" s="100" t="s">
        <v>182</v>
      </c>
      <c r="C340" s="100"/>
      <c r="E340" s="132"/>
      <c r="F340" s="132"/>
      <c r="G340" s="132"/>
      <c r="H340" s="132"/>
      <c r="I340" s="132"/>
      <c r="J340" s="132"/>
      <c r="K340" s="132"/>
      <c r="L340" s="132"/>
    </row>
    <row r="341" spans="1:12" ht="53.25">
      <c r="A341" s="130"/>
      <c r="B341" s="100" t="s">
        <v>254</v>
      </c>
      <c r="L341" s="132"/>
    </row>
    <row r="342" spans="1:12" ht="45.75">
      <c r="A342" s="130"/>
      <c r="B342" s="100" t="s">
        <v>180</v>
      </c>
      <c r="L342" s="132"/>
    </row>
    <row r="343" spans="1:12" ht="45.75">
      <c r="A343" s="130"/>
      <c r="B343" s="100" t="s">
        <v>179</v>
      </c>
      <c r="L343" s="132"/>
    </row>
    <row r="344" spans="1:12" ht="45.75">
      <c r="A344" s="130"/>
      <c r="L344" s="132"/>
    </row>
    <row r="345" spans="1:12" ht="45.75">
      <c r="A345" s="174" t="s">
        <v>104</v>
      </c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</row>
    <row r="346" spans="1:12" ht="45.75">
      <c r="A346" s="174" t="s">
        <v>106</v>
      </c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</row>
    <row r="347" spans="1:12" ht="45.75">
      <c r="A347" s="175" t="s">
        <v>99</v>
      </c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</row>
    <row r="348" spans="1:12" ht="46.5" thickBot="1">
      <c r="A348" s="176"/>
      <c r="B348" s="176"/>
      <c r="C348" s="176"/>
      <c r="D348" s="176"/>
      <c r="E348" s="176"/>
      <c r="F348" s="176"/>
      <c r="G348" s="176"/>
      <c r="H348" s="176"/>
      <c r="I348" s="176"/>
      <c r="J348" s="176"/>
      <c r="K348" s="176"/>
      <c r="L348" s="176"/>
    </row>
    <row r="349" spans="1:12" ht="46.5" thickBot="1">
      <c r="A349" s="177" t="s">
        <v>39</v>
      </c>
      <c r="B349" s="152" t="s">
        <v>100</v>
      </c>
      <c r="C349" s="104" t="s">
        <v>27</v>
      </c>
      <c r="D349" s="179" t="s">
        <v>28</v>
      </c>
      <c r="E349" s="180"/>
      <c r="F349" s="181"/>
      <c r="G349" s="152" t="s">
        <v>101</v>
      </c>
      <c r="H349" s="179" t="s">
        <v>29</v>
      </c>
      <c r="I349" s="180"/>
      <c r="J349" s="181"/>
      <c r="K349" s="179" t="s">
        <v>30</v>
      </c>
      <c r="L349" s="181"/>
    </row>
    <row r="350" spans="1:12" ht="53.25" thickBot="1">
      <c r="A350" s="178"/>
      <c r="B350" s="103"/>
      <c r="C350" s="105"/>
      <c r="D350" s="111" t="s">
        <v>1</v>
      </c>
      <c r="E350" s="112" t="s">
        <v>2</v>
      </c>
      <c r="F350" s="112" t="s">
        <v>3</v>
      </c>
      <c r="G350" s="103"/>
      <c r="H350" s="113" t="s">
        <v>251</v>
      </c>
      <c r="I350" s="135" t="s">
        <v>252</v>
      </c>
      <c r="J350" s="112" t="s">
        <v>6</v>
      </c>
      <c r="K350" s="112" t="s">
        <v>31</v>
      </c>
      <c r="L350" s="112" t="s">
        <v>5</v>
      </c>
    </row>
    <row r="351" spans="1:12" ht="46.5" thickBot="1">
      <c r="A351" s="115">
        <v>1</v>
      </c>
      <c r="B351" s="116">
        <v>2</v>
      </c>
      <c r="C351" s="117">
        <v>3</v>
      </c>
      <c r="D351" s="118">
        <v>4</v>
      </c>
      <c r="E351" s="116">
        <v>5</v>
      </c>
      <c r="F351" s="116">
        <v>6</v>
      </c>
      <c r="G351" s="116">
        <v>7</v>
      </c>
      <c r="H351" s="119">
        <v>8</v>
      </c>
      <c r="I351" s="116">
        <v>9</v>
      </c>
      <c r="J351" s="116">
        <v>10</v>
      </c>
      <c r="K351" s="119">
        <v>11</v>
      </c>
      <c r="L351" s="116">
        <v>12</v>
      </c>
    </row>
    <row r="352" spans="1:12" ht="46.5" thickBot="1">
      <c r="A352" s="179" t="s">
        <v>7</v>
      </c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1"/>
    </row>
    <row r="353" spans="1:12" ht="92.25" thickBot="1">
      <c r="A353" s="121" t="s">
        <v>213</v>
      </c>
      <c r="B353" s="124" t="s">
        <v>222</v>
      </c>
      <c r="C353" s="55">
        <v>200</v>
      </c>
      <c r="D353" s="56">
        <v>7.01</v>
      </c>
      <c r="E353" s="56">
        <v>8.09</v>
      </c>
      <c r="F353" s="56">
        <v>28.39</v>
      </c>
      <c r="G353" s="56">
        <v>213</v>
      </c>
      <c r="H353" s="56">
        <v>0.14</v>
      </c>
      <c r="I353" s="56">
        <v>0.02</v>
      </c>
      <c r="J353" s="56">
        <v>1.95</v>
      </c>
      <c r="K353" s="56">
        <v>185.34</v>
      </c>
      <c r="L353" s="56">
        <v>0.77</v>
      </c>
    </row>
    <row r="354" spans="1:12" ht="92.25" thickBot="1">
      <c r="A354" s="61">
        <v>2</v>
      </c>
      <c r="B354" s="62" t="s">
        <v>189</v>
      </c>
      <c r="C354" s="55">
        <v>180</v>
      </c>
      <c r="D354" s="56">
        <v>1.3</v>
      </c>
      <c r="E354" s="56">
        <v>1.3</v>
      </c>
      <c r="F354" s="56">
        <v>14</v>
      </c>
      <c r="G354" s="56">
        <v>92</v>
      </c>
      <c r="H354" s="56">
        <v>0.02</v>
      </c>
      <c r="I354" s="56">
        <v>0.02</v>
      </c>
      <c r="J354" s="56">
        <v>1</v>
      </c>
      <c r="K354" s="56">
        <v>108.24</v>
      </c>
      <c r="L354" s="56">
        <v>0.02</v>
      </c>
    </row>
    <row r="355" spans="1:12" ht="92.25" thickBot="1">
      <c r="A355" s="61">
        <v>3</v>
      </c>
      <c r="B355" s="62" t="s">
        <v>58</v>
      </c>
      <c r="C355" s="64" t="s">
        <v>232</v>
      </c>
      <c r="D355" s="58">
        <v>5.06</v>
      </c>
      <c r="E355" s="58">
        <v>7</v>
      </c>
      <c r="F355" s="58">
        <v>14.62</v>
      </c>
      <c r="G355" s="58">
        <v>145</v>
      </c>
      <c r="H355" s="58">
        <v>0.03</v>
      </c>
      <c r="I355" s="58">
        <v>0.03</v>
      </c>
      <c r="J355" s="58">
        <v>0.19</v>
      </c>
      <c r="K355" s="58">
        <v>126.6</v>
      </c>
      <c r="L355" s="58">
        <v>0.47</v>
      </c>
    </row>
    <row r="356" spans="1:12" ht="46.5" thickBot="1">
      <c r="A356" s="61"/>
      <c r="B356" s="62" t="s">
        <v>8</v>
      </c>
      <c r="C356" s="64"/>
      <c r="D356" s="58">
        <f>SUM(D353:D355)</f>
        <v>13.370000000000001</v>
      </c>
      <c r="E356" s="58">
        <f aca="true" t="shared" si="48" ref="E356:L356">SUM(E353:E355)</f>
        <v>16.39</v>
      </c>
      <c r="F356" s="58">
        <f t="shared" si="48"/>
        <v>57.01</v>
      </c>
      <c r="G356" s="58">
        <f t="shared" si="48"/>
        <v>450</v>
      </c>
      <c r="H356" s="58">
        <f t="shared" si="48"/>
        <v>0.19</v>
      </c>
      <c r="I356" s="58">
        <f t="shared" si="48"/>
        <v>0.07</v>
      </c>
      <c r="J356" s="58">
        <f t="shared" si="48"/>
        <v>3.14</v>
      </c>
      <c r="K356" s="58">
        <f t="shared" si="48"/>
        <v>420.17999999999995</v>
      </c>
      <c r="L356" s="58">
        <f t="shared" si="48"/>
        <v>1.26</v>
      </c>
    </row>
    <row r="357" spans="1:12" ht="46.5" thickBot="1">
      <c r="A357" s="179" t="s">
        <v>107</v>
      </c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1"/>
    </row>
    <row r="358" spans="1:12" ht="46.5" thickBot="1">
      <c r="A358" s="61" t="s">
        <v>45</v>
      </c>
      <c r="B358" s="62" t="s">
        <v>108</v>
      </c>
      <c r="C358" s="63" t="s">
        <v>238</v>
      </c>
      <c r="D358" s="58">
        <v>0.18</v>
      </c>
      <c r="E358" s="58">
        <v>0.09</v>
      </c>
      <c r="F358" s="58">
        <v>9.09</v>
      </c>
      <c r="G358" s="58">
        <v>41.4</v>
      </c>
      <c r="H358" s="58">
        <v>0.01</v>
      </c>
      <c r="I358" s="58">
        <v>0.01</v>
      </c>
      <c r="J358" s="58">
        <v>1.8</v>
      </c>
      <c r="K358" s="58">
        <v>6.3</v>
      </c>
      <c r="L358" s="58">
        <v>0.18</v>
      </c>
    </row>
    <row r="359" spans="1:12" ht="54" thickBot="1">
      <c r="A359" s="61" t="s">
        <v>45</v>
      </c>
      <c r="B359" s="62" t="s">
        <v>256</v>
      </c>
      <c r="C359" s="55">
        <v>110</v>
      </c>
      <c r="D359" s="56">
        <v>0.99</v>
      </c>
      <c r="E359" s="56">
        <v>0.33</v>
      </c>
      <c r="F359" s="56">
        <v>13.86</v>
      </c>
      <c r="G359" s="56">
        <v>63.36</v>
      </c>
      <c r="H359" s="56">
        <v>0.02</v>
      </c>
      <c r="I359" s="56">
        <v>0.04</v>
      </c>
      <c r="J359" s="56">
        <v>6.6</v>
      </c>
      <c r="K359" s="56">
        <v>5.28</v>
      </c>
      <c r="L359" s="56">
        <v>0.39</v>
      </c>
    </row>
    <row r="360" spans="1:12" ht="46.5" thickBot="1">
      <c r="A360" s="61"/>
      <c r="B360" s="62" t="s">
        <v>8</v>
      </c>
      <c r="C360" s="64"/>
      <c r="D360" s="58">
        <f>SUM(D358:D359)</f>
        <v>1.17</v>
      </c>
      <c r="E360" s="58">
        <f aca="true" t="shared" si="49" ref="E360:L360">SUM(E358:E359)</f>
        <v>0.42000000000000004</v>
      </c>
      <c r="F360" s="58">
        <f t="shared" si="49"/>
        <v>22.95</v>
      </c>
      <c r="G360" s="58">
        <f t="shared" si="49"/>
        <v>104.75999999999999</v>
      </c>
      <c r="H360" s="58">
        <f t="shared" si="49"/>
        <v>0.03</v>
      </c>
      <c r="I360" s="58">
        <f t="shared" si="49"/>
        <v>0.05</v>
      </c>
      <c r="J360" s="58">
        <f t="shared" si="49"/>
        <v>8.4</v>
      </c>
      <c r="K360" s="58">
        <f t="shared" si="49"/>
        <v>11.58</v>
      </c>
      <c r="L360" s="58">
        <f t="shared" si="49"/>
        <v>0.5700000000000001</v>
      </c>
    </row>
    <row r="361" spans="1:12" ht="46.5" thickBot="1">
      <c r="A361" s="179" t="s">
        <v>10</v>
      </c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1"/>
    </row>
    <row r="362" spans="1:12" ht="92.25" thickBot="1">
      <c r="A362" s="121">
        <v>94</v>
      </c>
      <c r="B362" s="124" t="s">
        <v>211</v>
      </c>
      <c r="C362" s="55">
        <v>60</v>
      </c>
      <c r="D362" s="58">
        <v>0.84</v>
      </c>
      <c r="E362" s="58">
        <v>6.79</v>
      </c>
      <c r="F362" s="58">
        <v>5.64</v>
      </c>
      <c r="G362" s="58">
        <v>88</v>
      </c>
      <c r="H362" s="122">
        <v>0.03</v>
      </c>
      <c r="I362" s="58">
        <v>0.01</v>
      </c>
      <c r="J362" s="58">
        <v>6.64</v>
      </c>
      <c r="K362" s="58">
        <v>10.24</v>
      </c>
      <c r="L362" s="58">
        <v>0.41</v>
      </c>
    </row>
    <row r="363" spans="1:12" ht="138" thickBot="1">
      <c r="A363" s="61">
        <v>52</v>
      </c>
      <c r="B363" s="62" t="s">
        <v>155</v>
      </c>
      <c r="C363" s="64" t="s">
        <v>218</v>
      </c>
      <c r="D363" s="58">
        <v>4.47</v>
      </c>
      <c r="E363" s="58">
        <v>8.24</v>
      </c>
      <c r="F363" s="58">
        <v>24.53</v>
      </c>
      <c r="G363" s="58">
        <v>161.77</v>
      </c>
      <c r="H363" s="58">
        <v>0.26</v>
      </c>
      <c r="I363" s="58">
        <v>0.36</v>
      </c>
      <c r="J363" s="58">
        <v>8.29</v>
      </c>
      <c r="K363" s="58">
        <v>25.31</v>
      </c>
      <c r="L363" s="58">
        <v>1.41</v>
      </c>
    </row>
    <row r="364" spans="1:12" ht="92.25" thickBot="1">
      <c r="A364" s="61">
        <v>53</v>
      </c>
      <c r="B364" s="62" t="s">
        <v>140</v>
      </c>
      <c r="C364" s="55">
        <v>220</v>
      </c>
      <c r="D364" s="58">
        <v>10</v>
      </c>
      <c r="E364" s="58">
        <v>8.2</v>
      </c>
      <c r="F364" s="58">
        <v>10.8</v>
      </c>
      <c r="G364" s="58">
        <v>280</v>
      </c>
      <c r="H364" s="58">
        <v>0.08</v>
      </c>
      <c r="I364" s="58">
        <v>0.07</v>
      </c>
      <c r="J364" s="58">
        <v>21</v>
      </c>
      <c r="K364" s="58">
        <v>104.22</v>
      </c>
      <c r="L364" s="58">
        <v>1</v>
      </c>
    </row>
    <row r="365" spans="1:12" ht="138" thickBot="1">
      <c r="A365" s="61">
        <v>87</v>
      </c>
      <c r="B365" s="62" t="s">
        <v>185</v>
      </c>
      <c r="C365" s="55">
        <v>225</v>
      </c>
      <c r="D365" s="58">
        <v>0</v>
      </c>
      <c r="E365" s="58">
        <v>0</v>
      </c>
      <c r="F365" s="58">
        <v>21.83</v>
      </c>
      <c r="G365" s="58">
        <v>84.38</v>
      </c>
      <c r="H365" s="58">
        <v>0.35</v>
      </c>
      <c r="I365" s="58">
        <v>0.38</v>
      </c>
      <c r="J365" s="58">
        <v>22</v>
      </c>
      <c r="K365" s="58">
        <v>0</v>
      </c>
      <c r="L365" s="58">
        <v>0</v>
      </c>
    </row>
    <row r="366" spans="1:12" ht="92.25" thickBot="1">
      <c r="A366" s="61" t="s">
        <v>45</v>
      </c>
      <c r="B366" s="62" t="s">
        <v>114</v>
      </c>
      <c r="C366" s="55">
        <v>35</v>
      </c>
      <c r="D366" s="58">
        <v>2.8</v>
      </c>
      <c r="E366" s="58">
        <v>0.35</v>
      </c>
      <c r="F366" s="58">
        <v>19.87</v>
      </c>
      <c r="G366" s="58">
        <v>82.6</v>
      </c>
      <c r="H366" s="58">
        <v>0.05</v>
      </c>
      <c r="I366" s="58">
        <v>0.02</v>
      </c>
      <c r="J366" s="58">
        <v>0</v>
      </c>
      <c r="K366" s="58">
        <v>8.4</v>
      </c>
      <c r="L366" s="58">
        <v>0.7</v>
      </c>
    </row>
    <row r="367" spans="1:12" ht="92.25" thickBot="1">
      <c r="A367" s="61" t="s">
        <v>45</v>
      </c>
      <c r="B367" s="62" t="s">
        <v>144</v>
      </c>
      <c r="C367" s="55">
        <v>45</v>
      </c>
      <c r="D367" s="58">
        <v>2.52</v>
      </c>
      <c r="E367" s="58">
        <v>0.54</v>
      </c>
      <c r="F367" s="58">
        <v>22.23</v>
      </c>
      <c r="G367" s="58">
        <v>104.4</v>
      </c>
      <c r="H367" s="58">
        <v>0.05</v>
      </c>
      <c r="I367" s="58">
        <v>0.02</v>
      </c>
      <c r="J367" s="58">
        <v>0</v>
      </c>
      <c r="K367" s="58">
        <v>10.8</v>
      </c>
      <c r="L367" s="58">
        <v>1.44</v>
      </c>
    </row>
    <row r="368" spans="1:12" ht="46.5" thickBot="1">
      <c r="A368" s="121"/>
      <c r="B368" s="124" t="s">
        <v>37</v>
      </c>
      <c r="C368" s="55"/>
      <c r="D368" s="56">
        <f>SUM(D362:D367)</f>
        <v>20.63</v>
      </c>
      <c r="E368" s="56">
        <f aca="true" t="shared" si="50" ref="E368:L368">SUM(E362:E367)</f>
        <v>24.12</v>
      </c>
      <c r="F368" s="56">
        <f t="shared" si="50"/>
        <v>104.9</v>
      </c>
      <c r="G368" s="56">
        <f t="shared" si="50"/>
        <v>801.15</v>
      </c>
      <c r="H368" s="56">
        <f t="shared" si="50"/>
        <v>0.8200000000000001</v>
      </c>
      <c r="I368" s="56">
        <f t="shared" si="50"/>
        <v>0.8600000000000001</v>
      </c>
      <c r="J368" s="56">
        <f t="shared" si="50"/>
        <v>57.93</v>
      </c>
      <c r="K368" s="56">
        <f t="shared" si="50"/>
        <v>158.97</v>
      </c>
      <c r="L368" s="56">
        <f t="shared" si="50"/>
        <v>4.959999999999999</v>
      </c>
    </row>
    <row r="369" spans="1:12" ht="46.5" thickBot="1">
      <c r="A369" s="182" t="s">
        <v>207</v>
      </c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50"/>
    </row>
    <row r="370" spans="1:12" ht="92.25" thickBot="1">
      <c r="A370" s="121">
        <v>22</v>
      </c>
      <c r="B370" s="62" t="s">
        <v>47</v>
      </c>
      <c r="C370" s="64" t="s">
        <v>80</v>
      </c>
      <c r="D370" s="58">
        <v>19.6</v>
      </c>
      <c r="E370" s="58">
        <v>16.7</v>
      </c>
      <c r="F370" s="58">
        <v>43.1</v>
      </c>
      <c r="G370" s="58">
        <v>475.3</v>
      </c>
      <c r="H370" s="58">
        <v>0.1</v>
      </c>
      <c r="I370" s="58">
        <v>0.2</v>
      </c>
      <c r="J370" s="58">
        <v>0.54</v>
      </c>
      <c r="K370" s="58">
        <v>299.52</v>
      </c>
      <c r="L370" s="58">
        <v>1</v>
      </c>
    </row>
    <row r="371" spans="1:12" ht="46.5" thickBot="1">
      <c r="A371" s="121">
        <v>13</v>
      </c>
      <c r="B371" s="54" t="s">
        <v>9</v>
      </c>
      <c r="C371" s="63" t="s">
        <v>148</v>
      </c>
      <c r="D371" s="58">
        <v>0</v>
      </c>
      <c r="E371" s="58">
        <v>0</v>
      </c>
      <c r="F371" s="58">
        <v>11.98</v>
      </c>
      <c r="G371" s="58">
        <v>43</v>
      </c>
      <c r="H371" s="58">
        <v>0</v>
      </c>
      <c r="I371" s="58">
        <v>0</v>
      </c>
      <c r="J371" s="58">
        <v>0</v>
      </c>
      <c r="K371" s="58">
        <v>0.35</v>
      </c>
      <c r="L371" s="58">
        <v>0.06</v>
      </c>
    </row>
    <row r="372" spans="1:12" ht="46.5" thickBot="1">
      <c r="A372" s="61">
        <v>21</v>
      </c>
      <c r="B372" s="125" t="s">
        <v>38</v>
      </c>
      <c r="C372" s="64" t="s">
        <v>34</v>
      </c>
      <c r="D372" s="56">
        <v>4.35</v>
      </c>
      <c r="E372" s="56">
        <v>4.8</v>
      </c>
      <c r="F372" s="56">
        <v>6</v>
      </c>
      <c r="G372" s="56">
        <v>88.5</v>
      </c>
      <c r="H372" s="56">
        <v>0.04</v>
      </c>
      <c r="I372" s="56">
        <v>0.26</v>
      </c>
      <c r="J372" s="56">
        <v>1.05</v>
      </c>
      <c r="K372" s="56">
        <v>180</v>
      </c>
      <c r="L372" s="56">
        <v>0.15</v>
      </c>
    </row>
    <row r="373" spans="1:12" ht="275.25" thickBot="1">
      <c r="A373" s="61" t="s">
        <v>45</v>
      </c>
      <c r="B373" s="62" t="s">
        <v>134</v>
      </c>
      <c r="C373" s="64" t="s">
        <v>164</v>
      </c>
      <c r="D373" s="58">
        <v>1.35</v>
      </c>
      <c r="E373" s="58">
        <v>1.8</v>
      </c>
      <c r="F373" s="58">
        <v>31.5</v>
      </c>
      <c r="G373" s="58">
        <v>130.77</v>
      </c>
      <c r="H373" s="58">
        <v>0.03</v>
      </c>
      <c r="I373" s="58">
        <v>0.01</v>
      </c>
      <c r="J373" s="58">
        <v>0</v>
      </c>
      <c r="K373" s="58">
        <v>5.4</v>
      </c>
      <c r="L373" s="58">
        <v>0.36</v>
      </c>
    </row>
    <row r="374" spans="1:12" ht="46.5" thickBot="1">
      <c r="A374" s="115"/>
      <c r="B374" s="62" t="s">
        <v>8</v>
      </c>
      <c r="C374" s="64"/>
      <c r="D374" s="58">
        <f>SUM(D370:D373)</f>
        <v>25.300000000000004</v>
      </c>
      <c r="E374" s="58">
        <f aca="true" t="shared" si="51" ref="E374:L374">SUM(E370:E373)</f>
        <v>23.3</v>
      </c>
      <c r="F374" s="58">
        <f t="shared" si="51"/>
        <v>92.58</v>
      </c>
      <c r="G374" s="58">
        <f t="shared" si="51"/>
        <v>737.5699999999999</v>
      </c>
      <c r="H374" s="58">
        <f t="shared" si="51"/>
        <v>0.17</v>
      </c>
      <c r="I374" s="58">
        <f t="shared" si="51"/>
        <v>0.47000000000000003</v>
      </c>
      <c r="J374" s="58">
        <f t="shared" si="51"/>
        <v>1.59</v>
      </c>
      <c r="K374" s="58">
        <f t="shared" si="51"/>
        <v>485.27</v>
      </c>
      <c r="L374" s="58">
        <f t="shared" si="51"/>
        <v>1.5699999999999998</v>
      </c>
    </row>
    <row r="375" spans="1:12" ht="53.25" thickBot="1">
      <c r="A375" s="61"/>
      <c r="B375" s="62"/>
      <c r="C375" s="64"/>
      <c r="D375" s="111" t="s">
        <v>1</v>
      </c>
      <c r="E375" s="112" t="s">
        <v>2</v>
      </c>
      <c r="F375" s="112" t="s">
        <v>3</v>
      </c>
      <c r="G375" s="126" t="s">
        <v>4</v>
      </c>
      <c r="H375" s="113" t="s">
        <v>251</v>
      </c>
      <c r="I375" s="113" t="s">
        <v>252</v>
      </c>
      <c r="J375" s="112" t="s">
        <v>6</v>
      </c>
      <c r="K375" s="112" t="s">
        <v>31</v>
      </c>
      <c r="L375" s="112" t="s">
        <v>5</v>
      </c>
    </row>
    <row r="376" spans="1:12" ht="46.5" thickBot="1">
      <c r="A376" s="61"/>
      <c r="B376" s="127" t="s">
        <v>12</v>
      </c>
      <c r="C376" s="64"/>
      <c r="D376" s="58">
        <f aca="true" t="shared" si="52" ref="D376:L376">SUM(D356+D360+D368+D374)</f>
        <v>60.470000000000006</v>
      </c>
      <c r="E376" s="58">
        <f t="shared" si="52"/>
        <v>64.23</v>
      </c>
      <c r="F376" s="58">
        <f t="shared" si="52"/>
        <v>277.44</v>
      </c>
      <c r="G376" s="58">
        <f t="shared" si="52"/>
        <v>2093.4799999999996</v>
      </c>
      <c r="H376" s="58">
        <f t="shared" si="52"/>
        <v>1.21</v>
      </c>
      <c r="I376" s="58">
        <f t="shared" si="52"/>
        <v>1.4500000000000002</v>
      </c>
      <c r="J376" s="58">
        <f t="shared" si="52"/>
        <v>71.06</v>
      </c>
      <c r="K376" s="58">
        <f t="shared" si="52"/>
        <v>1076</v>
      </c>
      <c r="L376" s="58">
        <f t="shared" si="52"/>
        <v>8.36</v>
      </c>
    </row>
    <row r="377" spans="1:12" ht="46.5" thickBot="1">
      <c r="A377" s="61"/>
      <c r="B377" s="127" t="s">
        <v>13</v>
      </c>
      <c r="C377" s="64"/>
      <c r="D377" s="58">
        <v>51.3</v>
      </c>
      <c r="E377" s="58">
        <v>57</v>
      </c>
      <c r="F377" s="58">
        <v>247.95</v>
      </c>
      <c r="G377" s="58">
        <v>1710</v>
      </c>
      <c r="H377" s="58">
        <v>0.86</v>
      </c>
      <c r="I377" s="58">
        <v>0.95</v>
      </c>
      <c r="J377" s="58">
        <v>47.5</v>
      </c>
      <c r="K377" s="58">
        <v>855</v>
      </c>
      <c r="L377" s="58">
        <v>9.5</v>
      </c>
    </row>
    <row r="378" spans="1:12" ht="136.5" thickBot="1">
      <c r="A378" s="115"/>
      <c r="B378" s="128" t="s">
        <v>14</v>
      </c>
      <c r="C378" s="112"/>
      <c r="D378" s="129">
        <f aca="true" t="shared" si="53" ref="D378:L378">D376*100/D377</f>
        <v>117.87524366471737</v>
      </c>
      <c r="E378" s="129">
        <f t="shared" si="53"/>
        <v>112.6842105263158</v>
      </c>
      <c r="F378" s="129">
        <f t="shared" si="53"/>
        <v>111.89352692075016</v>
      </c>
      <c r="G378" s="129">
        <f t="shared" si="53"/>
        <v>122.42573099415202</v>
      </c>
      <c r="H378" s="129">
        <f t="shared" si="53"/>
        <v>140.69767441860466</v>
      </c>
      <c r="I378" s="129">
        <f t="shared" si="53"/>
        <v>152.63157894736847</v>
      </c>
      <c r="J378" s="129">
        <f t="shared" si="53"/>
        <v>149.6</v>
      </c>
      <c r="K378" s="129">
        <f t="shared" si="53"/>
        <v>125.84795321637426</v>
      </c>
      <c r="L378" s="129">
        <f t="shared" si="53"/>
        <v>88</v>
      </c>
    </row>
    <row r="379" spans="1:12" ht="45.75">
      <c r="A379" s="130"/>
      <c r="B379" s="102"/>
      <c r="C379" s="131"/>
      <c r="D379" s="132"/>
      <c r="E379" s="132"/>
      <c r="F379" s="132"/>
      <c r="G379" s="132"/>
      <c r="H379" s="132"/>
      <c r="I379" s="132"/>
      <c r="J379" s="132"/>
      <c r="K379" s="132"/>
      <c r="L379" s="132"/>
    </row>
    <row r="380" spans="1:12" ht="45.75">
      <c r="A380" s="130"/>
      <c r="B380" s="100" t="s">
        <v>182</v>
      </c>
      <c r="C380" s="100"/>
      <c r="E380" s="132"/>
      <c r="F380" s="132"/>
      <c r="G380" s="132"/>
      <c r="H380" s="132"/>
      <c r="I380" s="132"/>
      <c r="J380" s="132"/>
      <c r="K380" s="132"/>
      <c r="L380" s="132"/>
    </row>
    <row r="381" spans="1:12" ht="53.25">
      <c r="A381" s="130"/>
      <c r="B381" s="100" t="s">
        <v>254</v>
      </c>
      <c r="L381" s="132"/>
    </row>
    <row r="382" spans="1:12" ht="45.75">
      <c r="A382" s="130"/>
      <c r="B382" s="100" t="s">
        <v>180</v>
      </c>
      <c r="L382" s="132"/>
    </row>
    <row r="383" spans="1:12" ht="45.75">
      <c r="A383" s="130"/>
      <c r="B383" s="100" t="s">
        <v>179</v>
      </c>
      <c r="L383" s="132"/>
    </row>
    <row r="384" spans="1:12" ht="45.75">
      <c r="A384" s="130"/>
      <c r="L384" s="132"/>
    </row>
    <row r="385" spans="1:13" ht="45.75">
      <c r="A385" s="174" t="s">
        <v>105</v>
      </c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20"/>
    </row>
    <row r="386" spans="1:12" ht="45.75">
      <c r="A386" s="174" t="s">
        <v>106</v>
      </c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</row>
    <row r="387" spans="1:13" s="120" customFormat="1" ht="45.75">
      <c r="A387" s="175" t="s">
        <v>99</v>
      </c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00"/>
    </row>
    <row r="388" spans="1:12" ht="46.5" thickBot="1">
      <c r="A388" s="176"/>
      <c r="B388" s="176"/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</row>
    <row r="389" spans="1:12" ht="46.5" thickBot="1">
      <c r="A389" s="177" t="s">
        <v>39</v>
      </c>
      <c r="B389" s="152" t="s">
        <v>100</v>
      </c>
      <c r="C389" s="104" t="s">
        <v>27</v>
      </c>
      <c r="D389" s="179" t="s">
        <v>28</v>
      </c>
      <c r="E389" s="180"/>
      <c r="F389" s="181"/>
      <c r="G389" s="152" t="s">
        <v>101</v>
      </c>
      <c r="H389" s="179" t="s">
        <v>29</v>
      </c>
      <c r="I389" s="180"/>
      <c r="J389" s="181"/>
      <c r="K389" s="179" t="s">
        <v>30</v>
      </c>
      <c r="L389" s="181"/>
    </row>
    <row r="390" spans="1:12" ht="53.25" thickBot="1">
      <c r="A390" s="178"/>
      <c r="B390" s="103"/>
      <c r="C390" s="105"/>
      <c r="D390" s="111" t="s">
        <v>1</v>
      </c>
      <c r="E390" s="112" t="s">
        <v>2</v>
      </c>
      <c r="F390" s="112" t="s">
        <v>3</v>
      </c>
      <c r="G390" s="103"/>
      <c r="H390" s="113" t="s">
        <v>251</v>
      </c>
      <c r="I390" s="135" t="s">
        <v>252</v>
      </c>
      <c r="J390" s="112" t="s">
        <v>6</v>
      </c>
      <c r="K390" s="112" t="s">
        <v>31</v>
      </c>
      <c r="L390" s="112" t="s">
        <v>5</v>
      </c>
    </row>
    <row r="391" spans="1:12" ht="46.5" thickBot="1">
      <c r="A391" s="110">
        <v>1</v>
      </c>
      <c r="B391" s="116">
        <v>2</v>
      </c>
      <c r="C391" s="117">
        <v>3</v>
      </c>
      <c r="D391" s="136">
        <v>4</v>
      </c>
      <c r="E391" s="116">
        <v>5</v>
      </c>
      <c r="F391" s="116">
        <v>6</v>
      </c>
      <c r="G391" s="116">
        <v>7</v>
      </c>
      <c r="H391" s="137">
        <v>8</v>
      </c>
      <c r="I391" s="116">
        <v>9</v>
      </c>
      <c r="J391" s="116">
        <v>10</v>
      </c>
      <c r="K391" s="137">
        <v>11</v>
      </c>
      <c r="L391" s="116">
        <v>12</v>
      </c>
    </row>
    <row r="392" spans="1:12" ht="46.5" thickBot="1">
      <c r="A392" s="179" t="s">
        <v>7</v>
      </c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1"/>
    </row>
    <row r="393" spans="1:12" ht="92.25" thickBot="1">
      <c r="A393" s="61">
        <v>39</v>
      </c>
      <c r="B393" s="62" t="s">
        <v>23</v>
      </c>
      <c r="C393" s="55">
        <v>200</v>
      </c>
      <c r="D393" s="58">
        <v>5.85</v>
      </c>
      <c r="E393" s="58">
        <v>5.81</v>
      </c>
      <c r="F393" s="58">
        <v>19.99</v>
      </c>
      <c r="G393" s="58">
        <v>155</v>
      </c>
      <c r="H393" s="58">
        <v>0.08</v>
      </c>
      <c r="I393" s="58">
        <v>0.14</v>
      </c>
      <c r="J393" s="58">
        <v>1</v>
      </c>
      <c r="K393" s="58">
        <v>188</v>
      </c>
      <c r="L393" s="58">
        <v>0.36</v>
      </c>
    </row>
    <row r="394" spans="1:12" ht="46.5" thickBot="1">
      <c r="A394" s="61">
        <v>15</v>
      </c>
      <c r="B394" s="62" t="s">
        <v>18</v>
      </c>
      <c r="C394" s="55">
        <v>180</v>
      </c>
      <c r="D394" s="58">
        <v>1.2</v>
      </c>
      <c r="E394" s="58">
        <v>1.3</v>
      </c>
      <c r="F394" s="58">
        <v>13</v>
      </c>
      <c r="G394" s="58">
        <v>90</v>
      </c>
      <c r="H394" s="123">
        <v>0.03</v>
      </c>
      <c r="I394" s="123">
        <v>0.03</v>
      </c>
      <c r="J394" s="123">
        <v>1</v>
      </c>
      <c r="K394" s="58">
        <v>109.78</v>
      </c>
      <c r="L394" s="58">
        <v>0.02</v>
      </c>
    </row>
    <row r="395" spans="1:12" ht="92.25" thickBot="1">
      <c r="A395" s="61">
        <v>101</v>
      </c>
      <c r="B395" s="62" t="s">
        <v>233</v>
      </c>
      <c r="C395" s="63" t="s">
        <v>234</v>
      </c>
      <c r="D395" s="58">
        <v>2.24</v>
      </c>
      <c r="E395" s="58">
        <v>1.01</v>
      </c>
      <c r="F395" s="58">
        <v>15.27</v>
      </c>
      <c r="G395" s="58">
        <v>81</v>
      </c>
      <c r="H395" s="58">
        <v>0.03</v>
      </c>
      <c r="I395" s="58">
        <v>0.02</v>
      </c>
      <c r="J395" s="58">
        <v>0.1</v>
      </c>
      <c r="K395" s="58">
        <v>34.7</v>
      </c>
      <c r="L395" s="58">
        <v>0.24</v>
      </c>
    </row>
    <row r="396" spans="1:12" ht="46.5" thickBot="1">
      <c r="A396" s="61"/>
      <c r="B396" s="62" t="s">
        <v>8</v>
      </c>
      <c r="C396" s="64"/>
      <c r="D396" s="58">
        <f aca="true" t="shared" si="54" ref="D396:L396">SUM(D393:D395)</f>
        <v>9.29</v>
      </c>
      <c r="E396" s="58">
        <f t="shared" si="54"/>
        <v>8.12</v>
      </c>
      <c r="F396" s="58">
        <f t="shared" si="54"/>
        <v>48.25999999999999</v>
      </c>
      <c r="G396" s="58">
        <f t="shared" si="54"/>
        <v>326</v>
      </c>
      <c r="H396" s="58">
        <f t="shared" si="54"/>
        <v>0.14</v>
      </c>
      <c r="I396" s="58">
        <f t="shared" si="54"/>
        <v>0.19</v>
      </c>
      <c r="J396" s="58">
        <f t="shared" si="54"/>
        <v>2.1</v>
      </c>
      <c r="K396" s="58">
        <f t="shared" si="54"/>
        <v>332.47999999999996</v>
      </c>
      <c r="L396" s="58">
        <f t="shared" si="54"/>
        <v>0.62</v>
      </c>
    </row>
    <row r="397" spans="1:12" ht="46.5" thickBot="1">
      <c r="A397" s="179" t="s">
        <v>107</v>
      </c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1"/>
    </row>
    <row r="398" spans="1:12" ht="46.5" thickBot="1">
      <c r="A398" s="61" t="s">
        <v>45</v>
      </c>
      <c r="B398" s="62" t="s">
        <v>108</v>
      </c>
      <c r="C398" s="63" t="s">
        <v>238</v>
      </c>
      <c r="D398" s="58">
        <v>0.18</v>
      </c>
      <c r="E398" s="58">
        <v>0.09</v>
      </c>
      <c r="F398" s="58">
        <v>9.09</v>
      </c>
      <c r="G398" s="58">
        <v>41.4</v>
      </c>
      <c r="H398" s="58">
        <v>0.01</v>
      </c>
      <c r="I398" s="58">
        <v>0.01</v>
      </c>
      <c r="J398" s="58">
        <v>1.8</v>
      </c>
      <c r="K398" s="58">
        <v>6.3</v>
      </c>
      <c r="L398" s="58">
        <v>0.18</v>
      </c>
    </row>
    <row r="399" spans="1:12" ht="54" thickBot="1">
      <c r="A399" s="61" t="s">
        <v>45</v>
      </c>
      <c r="B399" s="62" t="s">
        <v>255</v>
      </c>
      <c r="C399" s="55">
        <v>110</v>
      </c>
      <c r="D399" s="58">
        <v>0.39</v>
      </c>
      <c r="E399" s="58">
        <v>0.29</v>
      </c>
      <c r="F399" s="58">
        <v>10.19</v>
      </c>
      <c r="G399" s="58">
        <v>46.53</v>
      </c>
      <c r="H399" s="58">
        <v>0.02</v>
      </c>
      <c r="I399" s="58">
        <v>0.04</v>
      </c>
      <c r="J399" s="58">
        <v>4.95</v>
      </c>
      <c r="K399" s="58">
        <v>18.81</v>
      </c>
      <c r="L399" s="58">
        <v>2.27</v>
      </c>
    </row>
    <row r="400" spans="1:12" ht="46.5" thickBot="1">
      <c r="A400" s="61"/>
      <c r="B400" s="62" t="s">
        <v>8</v>
      </c>
      <c r="C400" s="64"/>
      <c r="D400" s="58">
        <f>SUM(D398:D399)</f>
        <v>0.5700000000000001</v>
      </c>
      <c r="E400" s="58">
        <f aca="true" t="shared" si="55" ref="E400:L400">SUM(E398:E399)</f>
        <v>0.38</v>
      </c>
      <c r="F400" s="58">
        <f t="shared" si="55"/>
        <v>19.28</v>
      </c>
      <c r="G400" s="58">
        <f t="shared" si="55"/>
        <v>87.93</v>
      </c>
      <c r="H400" s="58">
        <f t="shared" si="55"/>
        <v>0.03</v>
      </c>
      <c r="I400" s="58">
        <f t="shared" si="55"/>
        <v>0.05</v>
      </c>
      <c r="J400" s="58">
        <f t="shared" si="55"/>
        <v>6.75</v>
      </c>
      <c r="K400" s="58">
        <f t="shared" si="55"/>
        <v>25.11</v>
      </c>
      <c r="L400" s="58">
        <f t="shared" si="55"/>
        <v>2.45</v>
      </c>
    </row>
    <row r="401" spans="1:12" ht="46.5" thickBot="1">
      <c r="A401" s="179" t="s">
        <v>10</v>
      </c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1"/>
    </row>
    <row r="402" spans="1:12" ht="92.25" thickBot="1">
      <c r="A402" s="121">
        <v>81</v>
      </c>
      <c r="B402" s="124" t="s">
        <v>194</v>
      </c>
      <c r="C402" s="55">
        <v>60</v>
      </c>
      <c r="D402" s="58">
        <v>0.83</v>
      </c>
      <c r="E402" s="58">
        <v>4.54</v>
      </c>
      <c r="F402" s="58">
        <v>4.55</v>
      </c>
      <c r="G402" s="58">
        <v>65</v>
      </c>
      <c r="H402" s="122">
        <v>0.01</v>
      </c>
      <c r="I402" s="58">
        <v>0.05</v>
      </c>
      <c r="J402" s="58">
        <v>4.5</v>
      </c>
      <c r="K402" s="58">
        <v>19.85</v>
      </c>
      <c r="L402" s="58">
        <v>0.75</v>
      </c>
    </row>
    <row r="403" spans="1:12" ht="138" thickBot="1">
      <c r="A403" s="61">
        <v>25</v>
      </c>
      <c r="B403" s="62" t="s">
        <v>59</v>
      </c>
      <c r="C403" s="63" t="s">
        <v>156</v>
      </c>
      <c r="D403" s="58">
        <v>4.1</v>
      </c>
      <c r="E403" s="58">
        <v>7.16</v>
      </c>
      <c r="F403" s="58">
        <v>20.93</v>
      </c>
      <c r="G403" s="58">
        <v>145</v>
      </c>
      <c r="H403" s="58">
        <v>0.11</v>
      </c>
      <c r="I403" s="58">
        <v>0.07</v>
      </c>
      <c r="J403" s="58">
        <v>8.2</v>
      </c>
      <c r="K403" s="58">
        <v>29.69</v>
      </c>
      <c r="L403" s="58">
        <v>1.07</v>
      </c>
    </row>
    <row r="404" spans="1:12" ht="92.25" thickBot="1">
      <c r="A404" s="121">
        <v>44</v>
      </c>
      <c r="B404" s="62" t="s">
        <v>204</v>
      </c>
      <c r="C404" s="64" t="s">
        <v>35</v>
      </c>
      <c r="D404" s="58">
        <v>10.76</v>
      </c>
      <c r="E404" s="58">
        <v>6.55</v>
      </c>
      <c r="F404" s="58">
        <v>47.93</v>
      </c>
      <c r="G404" s="58">
        <v>112</v>
      </c>
      <c r="H404" s="58">
        <v>0.07</v>
      </c>
      <c r="I404" s="58">
        <v>0.06</v>
      </c>
      <c r="J404" s="58">
        <v>0.57</v>
      </c>
      <c r="K404" s="58">
        <v>41.44</v>
      </c>
      <c r="L404" s="58">
        <v>0.52</v>
      </c>
    </row>
    <row r="405" spans="1:12" ht="46.5" thickBot="1">
      <c r="A405" s="121">
        <v>8</v>
      </c>
      <c r="B405" s="62" t="s">
        <v>55</v>
      </c>
      <c r="C405" s="55">
        <v>150</v>
      </c>
      <c r="D405" s="58">
        <v>3.05</v>
      </c>
      <c r="E405" s="58">
        <v>5.24</v>
      </c>
      <c r="F405" s="58">
        <v>18.06</v>
      </c>
      <c r="G405" s="58">
        <v>142</v>
      </c>
      <c r="H405" s="58">
        <v>0.14</v>
      </c>
      <c r="I405" s="58">
        <v>0.1</v>
      </c>
      <c r="J405" s="58">
        <v>17.95</v>
      </c>
      <c r="K405" s="58">
        <v>46.18</v>
      </c>
      <c r="L405" s="58">
        <v>1.06</v>
      </c>
    </row>
    <row r="406" spans="1:12" ht="46.5" thickBot="1">
      <c r="A406" s="61">
        <v>20</v>
      </c>
      <c r="B406" s="62" t="s">
        <v>43</v>
      </c>
      <c r="C406" s="55">
        <v>200</v>
      </c>
      <c r="D406" s="58">
        <v>0</v>
      </c>
      <c r="E406" s="58">
        <v>0</v>
      </c>
      <c r="F406" s="58">
        <v>18</v>
      </c>
      <c r="G406" s="58">
        <v>60</v>
      </c>
      <c r="H406" s="58">
        <v>0</v>
      </c>
      <c r="I406" s="58">
        <v>0</v>
      </c>
      <c r="J406" s="58">
        <v>0</v>
      </c>
      <c r="K406" s="58">
        <v>0.48</v>
      </c>
      <c r="L406" s="58">
        <v>0.07</v>
      </c>
    </row>
    <row r="407" spans="1:12" ht="92.25" thickBot="1">
      <c r="A407" s="61" t="s">
        <v>45</v>
      </c>
      <c r="B407" s="62" t="s">
        <v>114</v>
      </c>
      <c r="C407" s="55">
        <v>35</v>
      </c>
      <c r="D407" s="58">
        <v>2.8</v>
      </c>
      <c r="E407" s="58">
        <v>0.35</v>
      </c>
      <c r="F407" s="58">
        <v>19.87</v>
      </c>
      <c r="G407" s="58">
        <v>82.6</v>
      </c>
      <c r="H407" s="58">
        <v>0.05</v>
      </c>
      <c r="I407" s="58">
        <v>0.02</v>
      </c>
      <c r="J407" s="58">
        <v>0</v>
      </c>
      <c r="K407" s="58">
        <v>8.4</v>
      </c>
      <c r="L407" s="58">
        <v>0.7</v>
      </c>
    </row>
    <row r="408" spans="1:12" ht="92.25" thickBot="1">
      <c r="A408" s="61" t="s">
        <v>45</v>
      </c>
      <c r="B408" s="62" t="s">
        <v>144</v>
      </c>
      <c r="C408" s="55">
        <v>45</v>
      </c>
      <c r="D408" s="58">
        <v>2.52</v>
      </c>
      <c r="E408" s="58">
        <v>0.54</v>
      </c>
      <c r="F408" s="58">
        <v>22.23</v>
      </c>
      <c r="G408" s="58">
        <v>104.4</v>
      </c>
      <c r="H408" s="58">
        <v>0.05</v>
      </c>
      <c r="I408" s="58">
        <v>0.02</v>
      </c>
      <c r="J408" s="58">
        <v>0</v>
      </c>
      <c r="K408" s="58">
        <v>10.8</v>
      </c>
      <c r="L408" s="58">
        <v>1.44</v>
      </c>
    </row>
    <row r="409" spans="1:12" ht="46.5" thickBot="1">
      <c r="A409" s="121"/>
      <c r="B409" s="124" t="s">
        <v>37</v>
      </c>
      <c r="C409" s="55"/>
      <c r="D409" s="56">
        <f>SUM(D402:D408)</f>
        <v>24.06</v>
      </c>
      <c r="E409" s="56">
        <f aca="true" t="shared" si="56" ref="E409:L409">SUM(E402:E408)</f>
        <v>24.380000000000003</v>
      </c>
      <c r="F409" s="56">
        <f t="shared" si="56"/>
        <v>151.57</v>
      </c>
      <c r="G409" s="56">
        <f t="shared" si="56"/>
        <v>711</v>
      </c>
      <c r="H409" s="56">
        <f t="shared" si="56"/>
        <v>0.43</v>
      </c>
      <c r="I409" s="56">
        <f t="shared" si="56"/>
        <v>0.32000000000000006</v>
      </c>
      <c r="J409" s="56">
        <f t="shared" si="56"/>
        <v>31.22</v>
      </c>
      <c r="K409" s="56">
        <f t="shared" si="56"/>
        <v>156.84</v>
      </c>
      <c r="L409" s="56">
        <f t="shared" si="56"/>
        <v>5.609999999999999</v>
      </c>
    </row>
    <row r="410" spans="1:12" ht="46.5" thickBot="1">
      <c r="A410" s="182" t="s">
        <v>207</v>
      </c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  <c r="L410" s="150"/>
    </row>
    <row r="411" spans="1:12" ht="46.5" thickBot="1">
      <c r="A411" s="121">
        <v>73</v>
      </c>
      <c r="B411" s="62" t="s">
        <v>212</v>
      </c>
      <c r="C411" s="64" t="s">
        <v>168</v>
      </c>
      <c r="D411" s="58">
        <v>5.97</v>
      </c>
      <c r="E411" s="58">
        <v>8.3</v>
      </c>
      <c r="F411" s="58">
        <v>15.3</v>
      </c>
      <c r="G411" s="58">
        <v>203.5</v>
      </c>
      <c r="H411" s="58">
        <v>0.13</v>
      </c>
      <c r="I411" s="58">
        <v>0.13</v>
      </c>
      <c r="J411" s="58">
        <v>5.3</v>
      </c>
      <c r="K411" s="58">
        <v>83.55</v>
      </c>
      <c r="L411" s="58">
        <v>1.37</v>
      </c>
    </row>
    <row r="412" spans="1:12" ht="46.5" thickBot="1">
      <c r="A412" s="53">
        <v>31</v>
      </c>
      <c r="B412" s="54" t="s">
        <v>11</v>
      </c>
      <c r="C412" s="55" t="s">
        <v>149</v>
      </c>
      <c r="D412" s="56">
        <v>0.04</v>
      </c>
      <c r="E412" s="56">
        <v>0</v>
      </c>
      <c r="F412" s="56">
        <v>12.13</v>
      </c>
      <c r="G412" s="56">
        <v>47</v>
      </c>
      <c r="H412" s="56">
        <v>0</v>
      </c>
      <c r="I412" s="56">
        <v>0</v>
      </c>
      <c r="J412" s="56">
        <v>2</v>
      </c>
      <c r="K412" s="56">
        <v>2.35</v>
      </c>
      <c r="L412" s="56">
        <v>0.09</v>
      </c>
    </row>
    <row r="413" spans="1:12" ht="92.25" thickBot="1">
      <c r="A413" s="61" t="s">
        <v>45</v>
      </c>
      <c r="B413" s="62" t="s">
        <v>114</v>
      </c>
      <c r="C413" s="55">
        <v>30</v>
      </c>
      <c r="D413" s="58">
        <v>2.4</v>
      </c>
      <c r="E413" s="58">
        <v>0.3</v>
      </c>
      <c r="F413" s="58">
        <v>14.46</v>
      </c>
      <c r="G413" s="58">
        <v>70.8</v>
      </c>
      <c r="H413" s="58">
        <v>0.05</v>
      </c>
      <c r="I413" s="58">
        <v>0.02</v>
      </c>
      <c r="J413" s="58">
        <v>0</v>
      </c>
      <c r="K413" s="58">
        <v>7.2</v>
      </c>
      <c r="L413" s="58">
        <v>0.6</v>
      </c>
    </row>
    <row r="414" spans="1:12" ht="46.5" thickBot="1">
      <c r="A414" s="61">
        <v>21</v>
      </c>
      <c r="B414" s="125" t="s">
        <v>38</v>
      </c>
      <c r="C414" s="64" t="s">
        <v>34</v>
      </c>
      <c r="D414" s="56">
        <v>4.35</v>
      </c>
      <c r="E414" s="56">
        <v>4.8</v>
      </c>
      <c r="F414" s="56">
        <v>6</v>
      </c>
      <c r="G414" s="56">
        <v>88.5</v>
      </c>
      <c r="H414" s="56">
        <v>0.04</v>
      </c>
      <c r="I414" s="56">
        <v>0.26</v>
      </c>
      <c r="J414" s="56">
        <v>1.05</v>
      </c>
      <c r="K414" s="56">
        <v>180</v>
      </c>
      <c r="L414" s="56">
        <v>0.15</v>
      </c>
    </row>
    <row r="415" spans="1:12" ht="46.5" thickBot="1">
      <c r="A415" s="61">
        <v>36</v>
      </c>
      <c r="B415" s="62" t="s">
        <v>132</v>
      </c>
      <c r="C415" s="64" t="s">
        <v>146</v>
      </c>
      <c r="D415" s="58">
        <v>5.25</v>
      </c>
      <c r="E415" s="58">
        <v>11.37</v>
      </c>
      <c r="F415" s="58">
        <v>29.07</v>
      </c>
      <c r="G415" s="58">
        <v>182.3</v>
      </c>
      <c r="H415" s="58">
        <v>0.08</v>
      </c>
      <c r="I415" s="58">
        <v>0.09</v>
      </c>
      <c r="J415" s="58">
        <v>0.22</v>
      </c>
      <c r="K415" s="58">
        <v>31.07</v>
      </c>
      <c r="L415" s="58">
        <v>0.55</v>
      </c>
    </row>
    <row r="416" spans="1:12" ht="46.5" thickBot="1">
      <c r="A416" s="61"/>
      <c r="B416" s="62" t="s">
        <v>37</v>
      </c>
      <c r="C416" s="55"/>
      <c r="D416" s="58">
        <f>SUM(D411:D415)</f>
        <v>18.009999999999998</v>
      </c>
      <c r="E416" s="58">
        <f aca="true" t="shared" si="57" ref="E416:L416">SUM(E411:E415)</f>
        <v>24.770000000000003</v>
      </c>
      <c r="F416" s="58">
        <f t="shared" si="57"/>
        <v>76.96000000000001</v>
      </c>
      <c r="G416" s="58">
        <f t="shared" si="57"/>
        <v>592.1</v>
      </c>
      <c r="H416" s="58">
        <f t="shared" si="57"/>
        <v>0.3</v>
      </c>
      <c r="I416" s="58">
        <f t="shared" si="57"/>
        <v>0.5</v>
      </c>
      <c r="J416" s="58">
        <f t="shared" si="57"/>
        <v>8.57</v>
      </c>
      <c r="K416" s="58">
        <f t="shared" si="57"/>
        <v>304.17</v>
      </c>
      <c r="L416" s="58">
        <f t="shared" si="57"/>
        <v>2.76</v>
      </c>
    </row>
    <row r="417" spans="1:12" s="146" customFormat="1" ht="53.25" thickBot="1">
      <c r="A417" s="61"/>
      <c r="B417" s="62"/>
      <c r="C417" s="64"/>
      <c r="D417" s="111" t="s">
        <v>1</v>
      </c>
      <c r="E417" s="112" t="s">
        <v>2</v>
      </c>
      <c r="F417" s="112" t="s">
        <v>3</v>
      </c>
      <c r="G417" s="126" t="s">
        <v>4</v>
      </c>
      <c r="H417" s="113" t="s">
        <v>251</v>
      </c>
      <c r="I417" s="113" t="s">
        <v>252</v>
      </c>
      <c r="J417" s="112" t="s">
        <v>6</v>
      </c>
      <c r="K417" s="112" t="s">
        <v>31</v>
      </c>
      <c r="L417" s="112" t="s">
        <v>5</v>
      </c>
    </row>
    <row r="418" spans="1:12" s="142" customFormat="1" ht="46.5" thickBot="1">
      <c r="A418" s="61"/>
      <c r="B418" s="127" t="s">
        <v>12</v>
      </c>
      <c r="C418" s="64"/>
      <c r="D418" s="58">
        <f aca="true" t="shared" si="58" ref="D418:L418">SUM(D396+D400+D409+D416)</f>
        <v>51.93</v>
      </c>
      <c r="E418" s="58">
        <f t="shared" si="58"/>
        <v>57.650000000000006</v>
      </c>
      <c r="F418" s="58">
        <f t="shared" si="58"/>
        <v>296.07</v>
      </c>
      <c r="G418" s="58">
        <f t="shared" si="58"/>
        <v>1717.0300000000002</v>
      </c>
      <c r="H418" s="58">
        <f t="shared" si="58"/>
        <v>0.8999999999999999</v>
      </c>
      <c r="I418" s="58">
        <f t="shared" si="58"/>
        <v>1.06</v>
      </c>
      <c r="J418" s="58">
        <f t="shared" si="58"/>
        <v>48.64</v>
      </c>
      <c r="K418" s="58">
        <f t="shared" si="58"/>
        <v>818.5999999999999</v>
      </c>
      <c r="L418" s="58">
        <f t="shared" si="58"/>
        <v>11.44</v>
      </c>
    </row>
    <row r="419" spans="1:12" ht="46.5" thickBot="1">
      <c r="A419" s="143"/>
      <c r="B419" s="144" t="s">
        <v>13</v>
      </c>
      <c r="C419" s="145"/>
      <c r="D419" s="58">
        <v>51.3</v>
      </c>
      <c r="E419" s="58">
        <v>57</v>
      </c>
      <c r="F419" s="58">
        <v>247.95</v>
      </c>
      <c r="G419" s="58">
        <v>1710</v>
      </c>
      <c r="H419" s="58">
        <v>0.86</v>
      </c>
      <c r="I419" s="58">
        <v>0.95</v>
      </c>
      <c r="J419" s="58">
        <v>47.5</v>
      </c>
      <c r="K419" s="58">
        <v>855</v>
      </c>
      <c r="L419" s="58">
        <v>9.5</v>
      </c>
    </row>
    <row r="420" spans="1:12" ht="136.5" thickBot="1">
      <c r="A420" s="115"/>
      <c r="B420" s="128" t="s">
        <v>14</v>
      </c>
      <c r="C420" s="112"/>
      <c r="D420" s="129">
        <f>D418*100/D419</f>
        <v>101.2280701754386</v>
      </c>
      <c r="E420" s="129">
        <f aca="true" t="shared" si="59" ref="E420:L420">E418*100/E419</f>
        <v>101.140350877193</v>
      </c>
      <c r="F420" s="129">
        <f t="shared" si="59"/>
        <v>119.40713853599516</v>
      </c>
      <c r="G420" s="129">
        <f t="shared" si="59"/>
        <v>100.41111111111113</v>
      </c>
      <c r="H420" s="129">
        <f t="shared" si="59"/>
        <v>104.65116279069765</v>
      </c>
      <c r="I420" s="129">
        <f t="shared" si="59"/>
        <v>111.57894736842105</v>
      </c>
      <c r="J420" s="129">
        <f t="shared" si="59"/>
        <v>102.4</v>
      </c>
      <c r="K420" s="129">
        <f t="shared" si="59"/>
        <v>95.74269005847951</v>
      </c>
      <c r="L420" s="129">
        <f t="shared" si="59"/>
        <v>120.42105263157895</v>
      </c>
    </row>
    <row r="421" spans="1:12" ht="45.75">
      <c r="A421" s="130"/>
      <c r="B421" s="102"/>
      <c r="C421" s="131"/>
      <c r="D421" s="132"/>
      <c r="E421" s="132"/>
      <c r="F421" s="132"/>
      <c r="G421" s="132"/>
      <c r="H421" s="132"/>
      <c r="I421" s="132"/>
      <c r="J421" s="132"/>
      <c r="K421" s="132"/>
      <c r="L421" s="132"/>
    </row>
    <row r="422" spans="1:12" ht="45.75">
      <c r="A422" s="130"/>
      <c r="B422" s="100" t="s">
        <v>182</v>
      </c>
      <c r="C422" s="100"/>
      <c r="E422" s="132"/>
      <c r="F422" s="132"/>
      <c r="G422" s="132"/>
      <c r="H422" s="132"/>
      <c r="I422" s="132"/>
      <c r="J422" s="132"/>
      <c r="K422" s="132"/>
      <c r="L422" s="132"/>
    </row>
    <row r="423" spans="1:12" ht="54" thickBot="1">
      <c r="A423" s="130"/>
      <c r="B423" s="100" t="s">
        <v>254</v>
      </c>
      <c r="L423" s="132"/>
    </row>
    <row r="424" spans="1:17" s="146" customFormat="1" ht="46.5" thickBot="1">
      <c r="A424" s="130"/>
      <c r="B424" s="100" t="s">
        <v>180</v>
      </c>
      <c r="C424" s="101"/>
      <c r="D424" s="100"/>
      <c r="E424" s="100"/>
      <c r="F424" s="100"/>
      <c r="G424" s="100"/>
      <c r="H424" s="100"/>
      <c r="I424" s="100"/>
      <c r="J424" s="100"/>
      <c r="K424" s="100"/>
      <c r="L424" s="132"/>
      <c r="M424" s="142"/>
      <c r="N424" s="142"/>
      <c r="O424" s="142"/>
      <c r="P424" s="142"/>
      <c r="Q424" s="142"/>
    </row>
    <row r="425" spans="1:17" ht="45.75">
      <c r="A425" s="130"/>
      <c r="B425" s="100" t="s">
        <v>179</v>
      </c>
      <c r="L425" s="132"/>
      <c r="M425" s="142"/>
      <c r="N425" s="142"/>
      <c r="O425" s="142"/>
      <c r="P425" s="142"/>
      <c r="Q425" s="142"/>
    </row>
    <row r="426" spans="1:12" ht="46.5" thickBot="1">
      <c r="A426" s="130"/>
      <c r="L426" s="130"/>
    </row>
    <row r="427" spans="1:12" ht="46.5" thickBot="1">
      <c r="A427" s="179" t="s">
        <v>158</v>
      </c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1"/>
    </row>
    <row r="428" spans="1:12" ht="46.5" thickBot="1">
      <c r="A428" s="192"/>
      <c r="B428" s="193"/>
      <c r="C428" s="191"/>
      <c r="D428" s="107" t="s">
        <v>28</v>
      </c>
      <c r="E428" s="108"/>
      <c r="F428" s="109"/>
      <c r="G428" s="152" t="s">
        <v>101</v>
      </c>
      <c r="H428" s="107" t="s">
        <v>29</v>
      </c>
      <c r="I428" s="108"/>
      <c r="J428" s="109"/>
      <c r="K428" s="107" t="s">
        <v>30</v>
      </c>
      <c r="L428" s="109"/>
    </row>
    <row r="429" spans="1:12" ht="53.25" thickBot="1">
      <c r="A429" s="188"/>
      <c r="B429" s="108"/>
      <c r="C429" s="190"/>
      <c r="D429" s="111" t="s">
        <v>1</v>
      </c>
      <c r="E429" s="112" t="s">
        <v>2</v>
      </c>
      <c r="F429" s="112" t="s">
        <v>3</v>
      </c>
      <c r="G429" s="103"/>
      <c r="H429" s="113" t="s">
        <v>251</v>
      </c>
      <c r="I429" s="153" t="s">
        <v>252</v>
      </c>
      <c r="J429" s="112" t="s">
        <v>6</v>
      </c>
      <c r="K429" s="112" t="s">
        <v>31</v>
      </c>
      <c r="L429" s="112" t="s">
        <v>5</v>
      </c>
    </row>
    <row r="430" spans="1:12" ht="46.5" thickBot="1">
      <c r="A430" s="184" t="s">
        <v>48</v>
      </c>
      <c r="B430" s="185"/>
      <c r="C430" s="186"/>
      <c r="D430" s="56">
        <f aca="true" t="shared" si="60" ref="D430:L430">SUM(D38+D79+D121+D163+D207+D250+D293+D336+D376+D418)</f>
        <v>566.22</v>
      </c>
      <c r="E430" s="56">
        <f t="shared" si="60"/>
        <v>629.28</v>
      </c>
      <c r="F430" s="56">
        <f t="shared" si="60"/>
        <v>2733.2500000000005</v>
      </c>
      <c r="G430" s="56">
        <f t="shared" si="60"/>
        <v>18909.629999999997</v>
      </c>
      <c r="H430" s="56">
        <f t="shared" si="60"/>
        <v>9.353</v>
      </c>
      <c r="I430" s="56">
        <f t="shared" si="60"/>
        <v>10.533</v>
      </c>
      <c r="J430" s="56">
        <f t="shared" si="60"/>
        <v>547.64</v>
      </c>
      <c r="K430" s="56">
        <f t="shared" si="60"/>
        <v>8932.5</v>
      </c>
      <c r="L430" s="56">
        <f t="shared" si="60"/>
        <v>107.86999999999999</v>
      </c>
    </row>
    <row r="431" spans="1:12" ht="46.5" thickBot="1">
      <c r="A431" s="184" t="s">
        <v>49</v>
      </c>
      <c r="B431" s="185"/>
      <c r="C431" s="186"/>
      <c r="D431" s="58">
        <f>D430/10</f>
        <v>56.622</v>
      </c>
      <c r="E431" s="58">
        <f aca="true" t="shared" si="61" ref="E431:L431">E430/10</f>
        <v>62.928</v>
      </c>
      <c r="F431" s="58">
        <f t="shared" si="61"/>
        <v>273.32500000000005</v>
      </c>
      <c r="G431" s="58">
        <f t="shared" si="61"/>
        <v>1890.9629999999997</v>
      </c>
      <c r="H431" s="58">
        <f t="shared" si="61"/>
        <v>0.9353</v>
      </c>
      <c r="I431" s="58">
        <f t="shared" si="61"/>
        <v>1.0533</v>
      </c>
      <c r="J431" s="58">
        <f t="shared" si="61"/>
        <v>54.763999999999996</v>
      </c>
      <c r="K431" s="58">
        <f t="shared" si="61"/>
        <v>893.25</v>
      </c>
      <c r="L431" s="58">
        <f t="shared" si="61"/>
        <v>10.786999999999999</v>
      </c>
    </row>
    <row r="432" spans="1:13" ht="46.5" thickBot="1">
      <c r="A432" s="184" t="s">
        <v>13</v>
      </c>
      <c r="B432" s="185"/>
      <c r="C432" s="186"/>
      <c r="D432" s="58">
        <v>51.3</v>
      </c>
      <c r="E432" s="58">
        <v>57</v>
      </c>
      <c r="F432" s="58">
        <v>247.95</v>
      </c>
      <c r="G432" s="58">
        <v>1710</v>
      </c>
      <c r="H432" s="58">
        <v>0.86</v>
      </c>
      <c r="I432" s="58">
        <v>0.95</v>
      </c>
      <c r="J432" s="58">
        <v>47.5</v>
      </c>
      <c r="K432" s="58">
        <v>855</v>
      </c>
      <c r="L432" s="58">
        <v>9.5</v>
      </c>
      <c r="M432" s="148"/>
    </row>
    <row r="433" spans="1:12" ht="127.5" customHeight="1" thickBot="1">
      <c r="A433" s="184" t="s">
        <v>14</v>
      </c>
      <c r="B433" s="185"/>
      <c r="C433" s="186"/>
      <c r="D433" s="58">
        <f>D431*100/D432</f>
        <v>110.37426900584795</v>
      </c>
      <c r="E433" s="58">
        <f aca="true" t="shared" si="62" ref="E433:L433">E431*100/E432</f>
        <v>110.39999999999999</v>
      </c>
      <c r="F433" s="58">
        <f t="shared" si="62"/>
        <v>110.23391812865499</v>
      </c>
      <c r="G433" s="58">
        <f t="shared" si="62"/>
        <v>110.58263157894736</v>
      </c>
      <c r="H433" s="58">
        <f t="shared" si="62"/>
        <v>108.75581395348837</v>
      </c>
      <c r="I433" s="58">
        <f t="shared" si="62"/>
        <v>110.8736842105263</v>
      </c>
      <c r="J433" s="58">
        <f t="shared" si="62"/>
        <v>115.29263157894736</v>
      </c>
      <c r="K433" s="58">
        <f t="shared" si="62"/>
        <v>104.47368421052632</v>
      </c>
      <c r="L433" s="58">
        <f t="shared" si="62"/>
        <v>113.54736842105261</v>
      </c>
    </row>
    <row r="434" spans="1:12" ht="139.5" customHeight="1" thickBot="1">
      <c r="A434" s="184" t="s">
        <v>257</v>
      </c>
      <c r="B434" s="185"/>
      <c r="C434" s="186"/>
      <c r="D434" s="58">
        <f>D433-100</f>
        <v>10.37426900584795</v>
      </c>
      <c r="E434" s="58">
        <f aca="true" t="shared" si="63" ref="E434:L434">E433-100</f>
        <v>10.399999999999991</v>
      </c>
      <c r="F434" s="58">
        <f t="shared" si="63"/>
        <v>10.233918128654992</v>
      </c>
      <c r="G434" s="58">
        <f t="shared" si="63"/>
        <v>10.582631578947357</v>
      </c>
      <c r="H434" s="58">
        <f t="shared" si="63"/>
        <v>8.75581395348837</v>
      </c>
      <c r="I434" s="58">
        <f t="shared" si="63"/>
        <v>10.873684210526307</v>
      </c>
      <c r="J434" s="58">
        <f t="shared" si="63"/>
        <v>15.292631578947365</v>
      </c>
      <c r="K434" s="58">
        <f t="shared" si="63"/>
        <v>4.473684210526315</v>
      </c>
      <c r="L434" s="58">
        <f t="shared" si="63"/>
        <v>13.54736842105261</v>
      </c>
    </row>
    <row r="435" spans="1:12" ht="45.75">
      <c r="A435" s="102"/>
      <c r="B435" s="102"/>
      <c r="C435" s="102"/>
      <c r="D435" s="132"/>
      <c r="E435" s="132"/>
      <c r="F435" s="132"/>
      <c r="G435" s="132"/>
      <c r="H435" s="132"/>
      <c r="I435" s="132"/>
      <c r="J435" s="132"/>
      <c r="K435" s="132"/>
      <c r="L435" s="132"/>
    </row>
    <row r="436" spans="1:3" ht="45.75">
      <c r="A436" s="100"/>
      <c r="C436" s="100"/>
    </row>
    <row r="437" spans="1:3" ht="45.75">
      <c r="A437" s="100"/>
      <c r="B437" s="100" t="s">
        <v>258</v>
      </c>
      <c r="C437" s="100"/>
    </row>
    <row r="438" spans="1:3" ht="45.75">
      <c r="A438" s="100"/>
      <c r="B438" s="100" t="s">
        <v>183</v>
      </c>
      <c r="C438" s="100"/>
    </row>
    <row r="439" spans="1:3" ht="45.75">
      <c r="A439" s="100"/>
      <c r="B439" s="100" t="s">
        <v>152</v>
      </c>
      <c r="C439" s="100"/>
    </row>
    <row r="452" ht="45.75">
      <c r="O452" s="149"/>
    </row>
    <row r="455" spans="1:3" ht="45.75">
      <c r="A455" s="100"/>
      <c r="C455" s="100"/>
    </row>
    <row r="456" spans="1:16" s="120" customFormat="1" ht="45.75">
      <c r="A456" s="148"/>
      <c r="B456" s="100"/>
      <c r="C456" s="101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</row>
    <row r="476" spans="1:13" ht="46.5" thickBot="1">
      <c r="A476" s="100"/>
      <c r="C476" s="100"/>
      <c r="M476" s="58"/>
    </row>
    <row r="481" spans="1:3" ht="45.75">
      <c r="A481" s="100"/>
      <c r="C481" s="100"/>
    </row>
    <row r="490" ht="45.75">
      <c r="M490" s="120"/>
    </row>
    <row r="493" spans="14:16" ht="45.75">
      <c r="N493" s="120"/>
      <c r="O493" s="120"/>
      <c r="P493" s="120"/>
    </row>
    <row r="495" spans="1:3" ht="45.75">
      <c r="A495" s="100"/>
      <c r="C495" s="100"/>
    </row>
    <row r="496" spans="1:3" ht="45.75">
      <c r="A496" s="100"/>
      <c r="C496" s="100"/>
    </row>
    <row r="520" spans="1:16" s="120" customFormat="1" ht="45.75">
      <c r="A520" s="148"/>
      <c r="B520" s="100"/>
      <c r="C520" s="101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</row>
  </sheetData>
  <sheetProtection/>
  <mergeCells count="162">
    <mergeCell ref="A20:L20"/>
    <mergeCell ref="A185:L185"/>
    <mergeCell ref="A228:L228"/>
    <mergeCell ref="A271:L271"/>
    <mergeCell ref="A95:L95"/>
    <mergeCell ref="A92:A93"/>
    <mergeCell ref="D92:F92"/>
    <mergeCell ref="H134:J134"/>
    <mergeCell ref="A134:A135"/>
    <mergeCell ref="A262:L262"/>
    <mergeCell ref="A259:L259"/>
    <mergeCell ref="A189:L189"/>
    <mergeCell ref="K176:L176"/>
    <mergeCell ref="A216:L216"/>
    <mergeCell ref="A217:L217"/>
    <mergeCell ref="A176:A177"/>
    <mergeCell ref="A2:L2"/>
    <mergeCell ref="A3:L3"/>
    <mergeCell ref="A47:L47"/>
    <mergeCell ref="A48:L48"/>
    <mergeCell ref="A4:L4"/>
    <mergeCell ref="A6:A7"/>
    <mergeCell ref="B6:B7"/>
    <mergeCell ref="C6:C7"/>
    <mergeCell ref="D6:F6"/>
    <mergeCell ref="G6:G7"/>
    <mergeCell ref="K428:L428"/>
    <mergeCell ref="A428:A429"/>
    <mergeCell ref="B428:B429"/>
    <mergeCell ref="A410:L410"/>
    <mergeCell ref="A427:L427"/>
    <mergeCell ref="H428:J428"/>
    <mergeCell ref="A433:C433"/>
    <mergeCell ref="G428:G429"/>
    <mergeCell ref="A430:C430"/>
    <mergeCell ref="A431:C431"/>
    <mergeCell ref="A432:C432"/>
    <mergeCell ref="C428:C429"/>
    <mergeCell ref="D428:F428"/>
    <mergeCell ref="A401:L401"/>
    <mergeCell ref="H389:J389"/>
    <mergeCell ref="A348:L348"/>
    <mergeCell ref="A369:L369"/>
    <mergeCell ref="A392:L392"/>
    <mergeCell ref="A387:L387"/>
    <mergeCell ref="C389:C390"/>
    <mergeCell ref="D389:F389"/>
    <mergeCell ref="G389:G390"/>
    <mergeCell ref="A397:L397"/>
    <mergeCell ref="K389:L389"/>
    <mergeCell ref="A386:L386"/>
    <mergeCell ref="G349:G350"/>
    <mergeCell ref="H349:J349"/>
    <mergeCell ref="K349:L349"/>
    <mergeCell ref="A349:A350"/>
    <mergeCell ref="G306:G307"/>
    <mergeCell ref="H306:J306"/>
    <mergeCell ref="A319:L319"/>
    <mergeCell ref="A309:L309"/>
    <mergeCell ref="A345:L345"/>
    <mergeCell ref="A346:L346"/>
    <mergeCell ref="B349:B350"/>
    <mergeCell ref="C349:C350"/>
    <mergeCell ref="D349:F349"/>
    <mergeCell ref="A361:L361"/>
    <mergeCell ref="A352:L352"/>
    <mergeCell ref="A357:L357"/>
    <mergeCell ref="A385:L385"/>
    <mergeCell ref="G263:G264"/>
    <mergeCell ref="K263:L263"/>
    <mergeCell ref="D263:F263"/>
    <mergeCell ref="A286:L286"/>
    <mergeCell ref="H263:J263"/>
    <mergeCell ref="A276:L276"/>
    <mergeCell ref="A263:A264"/>
    <mergeCell ref="B263:B264"/>
    <mergeCell ref="C263:C264"/>
    <mergeCell ref="A266:L266"/>
    <mergeCell ref="A232:L232"/>
    <mergeCell ref="A303:L303"/>
    <mergeCell ref="A347:L347"/>
    <mergeCell ref="A304:L304"/>
    <mergeCell ref="A305:L305"/>
    <mergeCell ref="A306:A307"/>
    <mergeCell ref="B306:B307"/>
    <mergeCell ref="A315:L315"/>
    <mergeCell ref="K306:L306"/>
    <mergeCell ref="A302:L302"/>
    <mergeCell ref="A223:L223"/>
    <mergeCell ref="B220:B221"/>
    <mergeCell ref="C220:C221"/>
    <mergeCell ref="D220:F220"/>
    <mergeCell ref="G220:G221"/>
    <mergeCell ref="A261:L261"/>
    <mergeCell ref="A260:L260"/>
    <mergeCell ref="A242:L242"/>
    <mergeCell ref="H220:J220"/>
    <mergeCell ref="H51:J51"/>
    <mergeCell ref="A100:L100"/>
    <mergeCell ref="K92:L92"/>
    <mergeCell ref="A174:L174"/>
    <mergeCell ref="A130:L130"/>
    <mergeCell ref="A131:L131"/>
    <mergeCell ref="A172:L172"/>
    <mergeCell ref="A173:L173"/>
    <mergeCell ref="A155:L155"/>
    <mergeCell ref="A133:L133"/>
    <mergeCell ref="A220:A221"/>
    <mergeCell ref="K220:L220"/>
    <mergeCell ref="A175:L175"/>
    <mergeCell ref="G176:G177"/>
    <mergeCell ref="H176:J176"/>
    <mergeCell ref="B176:B177"/>
    <mergeCell ref="C176:C177"/>
    <mergeCell ref="A90:L90"/>
    <mergeCell ref="A63:L63"/>
    <mergeCell ref="A72:L72"/>
    <mergeCell ref="A89:L89"/>
    <mergeCell ref="G92:G93"/>
    <mergeCell ref="H92:J92"/>
    <mergeCell ref="A88:L88"/>
    <mergeCell ref="D51:F51"/>
    <mergeCell ref="K51:L51"/>
    <mergeCell ref="A54:L54"/>
    <mergeCell ref="A51:A52"/>
    <mergeCell ref="C51:C52"/>
    <mergeCell ref="A59:L59"/>
    <mergeCell ref="B51:B52"/>
    <mergeCell ref="A132:L132"/>
    <mergeCell ref="A142:L142"/>
    <mergeCell ref="A113:L113"/>
    <mergeCell ref="A146:L146"/>
    <mergeCell ref="A137:L137"/>
    <mergeCell ref="B134:B135"/>
    <mergeCell ref="C134:C135"/>
    <mergeCell ref="D134:F134"/>
    <mergeCell ref="G134:G135"/>
    <mergeCell ref="K134:L134"/>
    <mergeCell ref="A199:L199"/>
    <mergeCell ref="A218:L218"/>
    <mergeCell ref="A179:L179"/>
    <mergeCell ref="D176:F176"/>
    <mergeCell ref="A16:L16"/>
    <mergeCell ref="A388:L388"/>
    <mergeCell ref="A389:A390"/>
    <mergeCell ref="B389:B390"/>
    <mergeCell ref="A29:L29"/>
    <mergeCell ref="A49:L49"/>
    <mergeCell ref="A104:L104"/>
    <mergeCell ref="C92:C93"/>
    <mergeCell ref="A327:L327"/>
    <mergeCell ref="A219:L219"/>
    <mergeCell ref="A434:C434"/>
    <mergeCell ref="H6:J6"/>
    <mergeCell ref="K6:L6"/>
    <mergeCell ref="B92:B93"/>
    <mergeCell ref="G51:G52"/>
    <mergeCell ref="A9:L9"/>
    <mergeCell ref="A50:L50"/>
    <mergeCell ref="A91:L91"/>
    <mergeCell ref="C306:C307"/>
    <mergeCell ref="D306:F306"/>
  </mergeCells>
  <printOptions/>
  <pageMargins left="0.9448818897637796" right="0.7480314960629921" top="0.984251968503937" bottom="0.984251968503937" header="0.5118110236220472" footer="0.5118110236220472"/>
  <pageSetup fitToHeight="29" horizontalDpi="600" verticalDpi="600" orientation="landscape" paperSize="9" scale="25" r:id="rId1"/>
  <rowBreaks count="23" manualBreakCount="23">
    <brk id="28" max="14" man="1"/>
    <brk id="46" max="14" man="1"/>
    <brk id="71" max="14" man="1"/>
    <brk id="87" max="14" man="1"/>
    <brk id="112" max="14" man="1"/>
    <brk id="129" max="14" man="1"/>
    <brk id="154" max="14" man="1"/>
    <brk id="171" max="14" man="1"/>
    <brk id="198" max="14" man="1"/>
    <brk id="215" max="14" man="1"/>
    <brk id="241" max="14" man="1"/>
    <brk id="258" max="14" man="1"/>
    <brk id="285" max="14" man="1"/>
    <brk id="301" max="14" man="1"/>
    <brk id="326" max="14" man="1"/>
    <brk id="344" max="14" man="1"/>
    <brk id="368" max="14" man="1"/>
    <brk id="384" max="14" man="1"/>
    <brk id="409" max="14" man="1"/>
    <brk id="425" max="14" man="1"/>
    <brk id="463" max="13" man="1"/>
    <brk id="484" max="13" man="1"/>
    <brk id="494" max="13" man="1"/>
  </rowBreaks>
  <colBreaks count="1" manualBreakCount="1">
    <brk id="12" max="4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5:S1225"/>
  <sheetViews>
    <sheetView zoomScalePageLayoutView="0" workbookViewId="0" topLeftCell="A1">
      <selection activeCell="H1215" sqref="H1215:H1224"/>
    </sheetView>
  </sheetViews>
  <sheetFormatPr defaultColWidth="9.140625" defaultRowHeight="12.75"/>
  <cols>
    <col min="1" max="12" width="9.140625" style="4" customWidth="1"/>
    <col min="13" max="13" width="10.28125" style="4" bestFit="1" customWidth="1"/>
    <col min="14" max="16384" width="9.140625" style="4" customWidth="1"/>
  </cols>
  <sheetData>
    <row r="4" ht="19.5" thickBot="1"/>
    <row r="5" spans="8:12" ht="19.5" thickBot="1">
      <c r="H5" s="1">
        <v>35</v>
      </c>
      <c r="I5" s="4">
        <f>H5*70/60</f>
        <v>40.833333333333336</v>
      </c>
      <c r="K5" s="1">
        <v>28</v>
      </c>
      <c r="L5" s="4">
        <f>K5*35/30</f>
        <v>32.666666666666664</v>
      </c>
    </row>
    <row r="6" spans="8:12" ht="19.5" thickBot="1">
      <c r="H6" s="2">
        <v>2</v>
      </c>
      <c r="I6" s="4">
        <f aca="true" t="shared" si="0" ref="I6:I15">H6*70/60</f>
        <v>2.3333333333333335</v>
      </c>
      <c r="K6" s="2">
        <v>1</v>
      </c>
      <c r="L6" s="4">
        <f>K6*35/30</f>
        <v>1.1666666666666667</v>
      </c>
    </row>
    <row r="7" spans="4:12" ht="19.5" thickBot="1">
      <c r="D7" s="5">
        <v>195</v>
      </c>
      <c r="E7" s="4">
        <f>D7*180/250</f>
        <v>140.4</v>
      </c>
      <c r="H7" s="2">
        <v>1</v>
      </c>
      <c r="I7" s="4">
        <f t="shared" si="0"/>
        <v>1.1666666666666667</v>
      </c>
      <c r="K7" s="2">
        <v>2</v>
      </c>
      <c r="L7" s="4">
        <f>K7*35/30</f>
        <v>2.3333333333333335</v>
      </c>
    </row>
    <row r="8" spans="4:12" ht="19.5" thickBot="1">
      <c r="D8" s="6">
        <v>27.5</v>
      </c>
      <c r="E8" s="4">
        <f>D8*180/250</f>
        <v>19.8</v>
      </c>
      <c r="H8" s="2">
        <v>2</v>
      </c>
      <c r="I8" s="4">
        <f t="shared" si="0"/>
        <v>2.3333333333333335</v>
      </c>
      <c r="K8" s="2">
        <v>1</v>
      </c>
      <c r="L8" s="4">
        <f>K8*35/30</f>
        <v>1.1666666666666667</v>
      </c>
    </row>
    <row r="9" spans="4:12" ht="19.5" thickBot="1">
      <c r="D9" s="6">
        <v>13.75</v>
      </c>
      <c r="E9" s="4">
        <f>D9*180/250</f>
        <v>9.9</v>
      </c>
      <c r="H9" s="2">
        <v>2</v>
      </c>
      <c r="I9" s="4">
        <f t="shared" si="0"/>
        <v>2.3333333333333335</v>
      </c>
      <c r="K9" s="2">
        <v>30</v>
      </c>
      <c r="L9" s="4">
        <f>K9*35/30</f>
        <v>35</v>
      </c>
    </row>
    <row r="10" spans="4:9" ht="19.5" thickBot="1">
      <c r="D10" s="6">
        <v>13.75</v>
      </c>
      <c r="E10" s="4">
        <f>D10*180/250</f>
        <v>9.9</v>
      </c>
      <c r="H10" s="2">
        <v>12</v>
      </c>
      <c r="I10" s="4">
        <f t="shared" si="0"/>
        <v>14</v>
      </c>
    </row>
    <row r="11" spans="4:9" ht="19.5" thickBot="1">
      <c r="D11" s="6">
        <v>237.5</v>
      </c>
      <c r="E11" s="4">
        <f>D11*180/250</f>
        <v>171</v>
      </c>
      <c r="H11" s="2">
        <v>1</v>
      </c>
      <c r="I11" s="4">
        <f t="shared" si="0"/>
        <v>1.1666666666666667</v>
      </c>
    </row>
    <row r="12" spans="8:9" ht="19.5" thickBot="1">
      <c r="H12" s="2">
        <v>30</v>
      </c>
      <c r="I12" s="4">
        <f t="shared" si="0"/>
        <v>35</v>
      </c>
    </row>
    <row r="13" spans="8:9" ht="19.5" thickBot="1">
      <c r="H13" s="2">
        <v>1</v>
      </c>
      <c r="I13" s="4">
        <f t="shared" si="0"/>
        <v>1.1666666666666667</v>
      </c>
    </row>
    <row r="14" spans="8:9" ht="19.5" thickBot="1">
      <c r="H14" s="2">
        <v>2</v>
      </c>
      <c r="I14" s="4">
        <f t="shared" si="0"/>
        <v>2.3333333333333335</v>
      </c>
    </row>
    <row r="15" spans="2:16" ht="19.5" thickBot="1">
      <c r="B15" s="18">
        <v>29</v>
      </c>
      <c r="C15" s="4">
        <f>B15*150/100</f>
        <v>43.5</v>
      </c>
      <c r="H15" s="2">
        <v>60</v>
      </c>
      <c r="I15" s="4">
        <f t="shared" si="0"/>
        <v>70</v>
      </c>
      <c r="K15" s="10">
        <v>171</v>
      </c>
      <c r="L15" s="4">
        <f>K15/2</f>
        <v>85.5</v>
      </c>
      <c r="O15" s="13">
        <v>16</v>
      </c>
      <c r="P15" s="4">
        <f>O15*180/160</f>
        <v>18</v>
      </c>
    </row>
    <row r="16" spans="2:16" ht="19.5" thickBot="1">
      <c r="B16" s="19">
        <v>83</v>
      </c>
      <c r="C16" s="4">
        <f aca="true" t="shared" si="1" ref="C16:C23">B16*150/100</f>
        <v>124.5</v>
      </c>
      <c r="K16" s="11">
        <v>183</v>
      </c>
      <c r="L16" s="4">
        <f aca="true" t="shared" si="2" ref="L16:L22">K16/2</f>
        <v>91.5</v>
      </c>
      <c r="O16" s="9">
        <v>144</v>
      </c>
      <c r="P16" s="4">
        <f aca="true" t="shared" si="3" ref="P16:P21">O16*180/160</f>
        <v>162</v>
      </c>
    </row>
    <row r="17" spans="2:16" ht="19.5" thickBot="1">
      <c r="B17" s="19">
        <v>2</v>
      </c>
      <c r="C17" s="4">
        <f t="shared" si="1"/>
        <v>3</v>
      </c>
      <c r="K17" s="11">
        <v>197</v>
      </c>
      <c r="L17" s="4">
        <f t="shared" si="2"/>
        <v>98.5</v>
      </c>
      <c r="O17" s="9">
        <v>16</v>
      </c>
      <c r="P17" s="4">
        <f t="shared" si="3"/>
        <v>18</v>
      </c>
    </row>
    <row r="18" spans="2:16" ht="19.5" thickBot="1">
      <c r="B18" s="19">
        <v>14</v>
      </c>
      <c r="C18" s="4">
        <f t="shared" si="1"/>
        <v>21</v>
      </c>
      <c r="G18" s="1">
        <v>33</v>
      </c>
      <c r="H18" s="4">
        <f>G18*70/80</f>
        <v>28.875</v>
      </c>
      <c r="K18" s="11">
        <v>222</v>
      </c>
      <c r="L18" s="4">
        <f t="shared" si="2"/>
        <v>111</v>
      </c>
      <c r="O18" s="9">
        <v>4</v>
      </c>
      <c r="P18" s="4">
        <f t="shared" si="3"/>
        <v>4.5</v>
      </c>
    </row>
    <row r="19" spans="2:16" ht="19.5" thickBot="1">
      <c r="B19" s="19">
        <v>8.4</v>
      </c>
      <c r="C19" s="4">
        <f t="shared" si="1"/>
        <v>12.6</v>
      </c>
      <c r="G19" s="2">
        <v>2</v>
      </c>
      <c r="H19" s="4">
        <f aca="true" t="shared" si="4" ref="H19:H34">G19*70/80</f>
        <v>1.75</v>
      </c>
      <c r="K19" s="11">
        <v>24</v>
      </c>
      <c r="L19" s="4">
        <f t="shared" si="2"/>
        <v>12</v>
      </c>
      <c r="O19" s="9">
        <v>158</v>
      </c>
      <c r="P19" s="4">
        <f t="shared" si="3"/>
        <v>177.75</v>
      </c>
    </row>
    <row r="20" spans="2:16" ht="19.5" thickBot="1">
      <c r="B20" s="19">
        <v>5</v>
      </c>
      <c r="C20" s="4">
        <f t="shared" si="1"/>
        <v>7.5</v>
      </c>
      <c r="G20" s="2">
        <v>2</v>
      </c>
      <c r="H20" s="4">
        <f t="shared" si="4"/>
        <v>1.75</v>
      </c>
      <c r="K20" s="11"/>
      <c r="L20" s="4">
        <f t="shared" si="2"/>
        <v>0</v>
      </c>
      <c r="O20" s="9">
        <v>2</v>
      </c>
      <c r="P20" s="4">
        <f t="shared" si="3"/>
        <v>2.25</v>
      </c>
    </row>
    <row r="21" spans="2:16" ht="19.5" thickBot="1">
      <c r="B21" s="19">
        <v>3</v>
      </c>
      <c r="C21" s="4">
        <f t="shared" si="1"/>
        <v>4.5</v>
      </c>
      <c r="G21" s="2">
        <v>2</v>
      </c>
      <c r="H21" s="4">
        <f t="shared" si="4"/>
        <v>1.75</v>
      </c>
      <c r="K21" s="11">
        <v>5</v>
      </c>
      <c r="L21" s="4">
        <f t="shared" si="2"/>
        <v>2.5</v>
      </c>
      <c r="O21" s="9">
        <v>160</v>
      </c>
      <c r="P21" s="4">
        <f t="shared" si="3"/>
        <v>180</v>
      </c>
    </row>
    <row r="22" spans="2:12" ht="19.5" thickBot="1">
      <c r="B22" s="19">
        <v>20</v>
      </c>
      <c r="C22" s="4">
        <f t="shared" si="1"/>
        <v>30</v>
      </c>
      <c r="G22" s="2">
        <v>1</v>
      </c>
      <c r="H22" s="4">
        <f t="shared" si="4"/>
        <v>0.875</v>
      </c>
      <c r="K22" s="9">
        <v>150</v>
      </c>
      <c r="L22" s="4">
        <f t="shared" si="2"/>
        <v>75</v>
      </c>
    </row>
    <row r="23" spans="2:8" ht="19.5" thickBot="1">
      <c r="B23" s="19">
        <v>100</v>
      </c>
      <c r="C23" s="4">
        <f t="shared" si="1"/>
        <v>150</v>
      </c>
      <c r="G23" s="2">
        <v>14</v>
      </c>
      <c r="H23" s="4">
        <f t="shared" si="4"/>
        <v>12.25</v>
      </c>
    </row>
    <row r="24" spans="7:16" ht="19.5" thickBot="1">
      <c r="G24" s="2">
        <v>59</v>
      </c>
      <c r="H24" s="4">
        <f t="shared" si="4"/>
        <v>51.625</v>
      </c>
      <c r="O24" s="5">
        <v>37.3</v>
      </c>
      <c r="P24" s="4">
        <f aca="true" t="shared" si="5" ref="P24:P29">O24*20/50</f>
        <v>14.92</v>
      </c>
    </row>
    <row r="25" spans="3:16" ht="19.5" thickBot="1">
      <c r="C25" s="1">
        <v>32</v>
      </c>
      <c r="D25" s="4">
        <f>C25*70/60</f>
        <v>37.333333333333336</v>
      </c>
      <c r="G25" s="2">
        <v>2</v>
      </c>
      <c r="H25" s="4">
        <f t="shared" si="4"/>
        <v>1.75</v>
      </c>
      <c r="O25" s="6">
        <v>2.5</v>
      </c>
      <c r="P25" s="4">
        <f t="shared" si="5"/>
        <v>1</v>
      </c>
    </row>
    <row r="26" spans="3:16" ht="19.5" thickBot="1">
      <c r="C26" s="2">
        <v>1.8</v>
      </c>
      <c r="D26" s="4">
        <f aca="true" t="shared" si="6" ref="D26:D35">C26*70/60</f>
        <v>2.1</v>
      </c>
      <c r="G26" s="2">
        <v>36</v>
      </c>
      <c r="H26" s="4">
        <f t="shared" si="4"/>
        <v>31.5</v>
      </c>
      <c r="L26" s="5">
        <v>61.18</v>
      </c>
      <c r="M26" s="4">
        <f>L26*32/52</f>
        <v>37.64923076923077</v>
      </c>
      <c r="O26" s="6">
        <v>2.5</v>
      </c>
      <c r="P26" s="4">
        <f t="shared" si="5"/>
        <v>1</v>
      </c>
    </row>
    <row r="27" spans="3:16" ht="19.5" thickBot="1">
      <c r="C27" s="2">
        <v>17</v>
      </c>
      <c r="D27" s="4">
        <f t="shared" si="6"/>
        <v>19.833333333333332</v>
      </c>
      <c r="G27" s="2">
        <v>16</v>
      </c>
      <c r="H27" s="4">
        <f t="shared" si="4"/>
        <v>14</v>
      </c>
      <c r="L27" s="6">
        <v>65.78</v>
      </c>
      <c r="M27" s="4">
        <f>L27*32/52</f>
        <v>40.480000000000004</v>
      </c>
      <c r="O27" s="6">
        <v>12</v>
      </c>
      <c r="P27" s="4">
        <f t="shared" si="5"/>
        <v>4.8</v>
      </c>
    </row>
    <row r="28" spans="3:16" ht="19.5" thickBot="1">
      <c r="C28" s="2">
        <v>8</v>
      </c>
      <c r="D28" s="4">
        <f t="shared" si="6"/>
        <v>9.333333333333334</v>
      </c>
      <c r="G28" s="2">
        <v>9</v>
      </c>
      <c r="H28" s="4">
        <f t="shared" si="4"/>
        <v>7.875</v>
      </c>
      <c r="L28" s="6">
        <v>70.84</v>
      </c>
      <c r="M28" s="4">
        <f>L28*32/52</f>
        <v>43.59384615384616</v>
      </c>
      <c r="O28" s="6">
        <v>12</v>
      </c>
      <c r="P28" s="4">
        <f t="shared" si="5"/>
        <v>4.8</v>
      </c>
    </row>
    <row r="29" spans="3:16" ht="19.5" thickBot="1">
      <c r="C29" s="2">
        <v>2</v>
      </c>
      <c r="D29" s="4">
        <f t="shared" si="6"/>
        <v>2.3333333333333335</v>
      </c>
      <c r="G29" s="2">
        <v>1</v>
      </c>
      <c r="H29" s="4">
        <f>G29*70/80</f>
        <v>0.875</v>
      </c>
      <c r="L29" s="6">
        <v>76.82</v>
      </c>
      <c r="M29" s="4">
        <f>L29*32/52</f>
        <v>47.27384615384615</v>
      </c>
      <c r="O29" s="6">
        <v>50</v>
      </c>
      <c r="P29" s="4">
        <f t="shared" si="5"/>
        <v>20</v>
      </c>
    </row>
    <row r="30" spans="3:11" ht="19.5" thickBot="1">
      <c r="C30" s="2">
        <v>1</v>
      </c>
      <c r="D30" s="4">
        <f t="shared" si="6"/>
        <v>1.1666666666666667</v>
      </c>
      <c r="G30" s="2">
        <v>1.5</v>
      </c>
      <c r="H30" s="4">
        <f t="shared" si="4"/>
        <v>1.3125</v>
      </c>
      <c r="J30" s="7">
        <v>30</v>
      </c>
      <c r="K30" s="4">
        <f>J30*32/25</f>
        <v>38.4</v>
      </c>
    </row>
    <row r="31" spans="3:11" ht="19.5" thickBot="1">
      <c r="C31" s="2">
        <v>6</v>
      </c>
      <c r="D31" s="4">
        <f t="shared" si="6"/>
        <v>7</v>
      </c>
      <c r="G31" s="2">
        <v>80</v>
      </c>
      <c r="H31" s="4">
        <f t="shared" si="4"/>
        <v>70</v>
      </c>
      <c r="J31" s="8">
        <v>1</v>
      </c>
      <c r="K31" s="4">
        <f aca="true" t="shared" si="7" ref="K31:K37">J31*32/25</f>
        <v>1.28</v>
      </c>
    </row>
    <row r="32" spans="3:11" ht="19.5" thickBot="1">
      <c r="C32" s="2">
        <v>0.45</v>
      </c>
      <c r="D32" s="4">
        <f t="shared" si="6"/>
        <v>0.525</v>
      </c>
      <c r="G32" s="3">
        <v>2</v>
      </c>
      <c r="H32" s="4">
        <f t="shared" si="4"/>
        <v>1.75</v>
      </c>
      <c r="J32" s="8">
        <v>22</v>
      </c>
      <c r="K32" s="4">
        <f t="shared" si="7"/>
        <v>28.16</v>
      </c>
    </row>
    <row r="33" spans="3:11" ht="19.5" thickBot="1">
      <c r="C33" s="2">
        <v>0.01</v>
      </c>
      <c r="D33" s="4">
        <f t="shared" si="6"/>
        <v>0.011666666666666667</v>
      </c>
      <c r="G33" s="3">
        <v>0.24</v>
      </c>
      <c r="H33" s="4">
        <f t="shared" si="4"/>
        <v>0.21000000000000002</v>
      </c>
      <c r="J33" s="8">
        <v>4</v>
      </c>
      <c r="K33" s="4">
        <f t="shared" si="7"/>
        <v>5.12</v>
      </c>
    </row>
    <row r="34" spans="3:14" ht="19.5" thickBot="1">
      <c r="C34" s="2">
        <v>66</v>
      </c>
      <c r="D34" s="4">
        <f t="shared" si="6"/>
        <v>77</v>
      </c>
      <c r="G34" s="3">
        <v>80</v>
      </c>
      <c r="H34" s="4">
        <f t="shared" si="4"/>
        <v>70</v>
      </c>
      <c r="J34" s="8">
        <v>1</v>
      </c>
      <c r="K34" s="4">
        <f t="shared" si="7"/>
        <v>1.28</v>
      </c>
      <c r="M34" s="10">
        <v>32</v>
      </c>
      <c r="N34" s="4">
        <f>M34*250/200</f>
        <v>40</v>
      </c>
    </row>
    <row r="35" spans="3:14" ht="19.5" thickBot="1">
      <c r="C35" s="2">
        <v>60</v>
      </c>
      <c r="D35" s="4">
        <f t="shared" si="6"/>
        <v>70</v>
      </c>
      <c r="J35" s="8">
        <v>2</v>
      </c>
      <c r="K35" s="4">
        <f t="shared" si="7"/>
        <v>2.56</v>
      </c>
      <c r="M35" s="11">
        <v>6</v>
      </c>
      <c r="N35" s="4">
        <f aca="true" t="shared" si="8" ref="N35:N46">M35*250/200</f>
        <v>7.5</v>
      </c>
    </row>
    <row r="36" spans="10:14" ht="19.5" thickBot="1">
      <c r="J36" s="8">
        <v>1</v>
      </c>
      <c r="K36" s="4">
        <f t="shared" si="7"/>
        <v>1.28</v>
      </c>
      <c r="M36" s="11">
        <v>130</v>
      </c>
      <c r="N36" s="4">
        <f t="shared" si="8"/>
        <v>162.5</v>
      </c>
    </row>
    <row r="37" spans="10:14" ht="19.5" thickBot="1">
      <c r="J37" s="8">
        <v>25</v>
      </c>
      <c r="K37" s="4">
        <f t="shared" si="7"/>
        <v>32</v>
      </c>
      <c r="M37" s="11"/>
      <c r="N37" s="4">
        <f t="shared" si="8"/>
        <v>0</v>
      </c>
    </row>
    <row r="38" spans="13:14" ht="19.5" thickBot="1">
      <c r="M38" s="11">
        <v>120</v>
      </c>
      <c r="N38" s="4">
        <f t="shared" si="8"/>
        <v>150</v>
      </c>
    </row>
    <row r="39" spans="13:14" ht="19.5" customHeight="1" thickBot="1">
      <c r="M39" s="11">
        <v>129</v>
      </c>
      <c r="N39" s="4">
        <f t="shared" si="8"/>
        <v>161.25</v>
      </c>
    </row>
    <row r="40" spans="13:14" ht="19.5" thickBot="1">
      <c r="M40" s="11">
        <v>138</v>
      </c>
      <c r="N40" s="4">
        <f t="shared" si="8"/>
        <v>172.5</v>
      </c>
    </row>
    <row r="41" spans="2:14" ht="19.5" thickBot="1">
      <c r="B41" s="18">
        <v>30</v>
      </c>
      <c r="C41" s="4">
        <f>B41*140/75</f>
        <v>56</v>
      </c>
      <c r="M41" s="11">
        <v>150</v>
      </c>
      <c r="N41" s="4">
        <f t="shared" si="8"/>
        <v>187.5</v>
      </c>
    </row>
    <row r="42" spans="2:14" ht="19.5" thickBot="1">
      <c r="B42" s="19">
        <v>30</v>
      </c>
      <c r="C42" s="4">
        <f>B42*140/75</f>
        <v>56</v>
      </c>
      <c r="H42" s="1">
        <v>2</v>
      </c>
      <c r="I42" s="4">
        <f>H42*70/80</f>
        <v>1.75</v>
      </c>
      <c r="M42" s="11"/>
      <c r="N42" s="4">
        <f t="shared" si="8"/>
        <v>0</v>
      </c>
    </row>
    <row r="43" spans="2:14" ht="19.5" thickBot="1">
      <c r="B43" s="19">
        <v>3</v>
      </c>
      <c r="C43" s="4">
        <f>B43*140/75</f>
        <v>5.6</v>
      </c>
      <c r="H43" s="2"/>
      <c r="I43" s="4">
        <f aca="true" t="shared" si="9" ref="I43:I50">H43*70/80</f>
        <v>0</v>
      </c>
      <c r="M43" s="11">
        <v>10</v>
      </c>
      <c r="N43" s="4">
        <f t="shared" si="8"/>
        <v>12.5</v>
      </c>
    </row>
    <row r="44" spans="2:14" ht="19.5" thickBot="1">
      <c r="B44" s="19">
        <v>15</v>
      </c>
      <c r="C44" s="4">
        <f>B44*140/75</f>
        <v>28</v>
      </c>
      <c r="H44" s="2"/>
      <c r="I44" s="4">
        <f t="shared" si="9"/>
        <v>0</v>
      </c>
      <c r="M44" s="11">
        <v>11</v>
      </c>
      <c r="N44" s="4">
        <f t="shared" si="8"/>
        <v>13.75</v>
      </c>
    </row>
    <row r="45" spans="8:14" ht="19.5" thickBot="1">
      <c r="H45" s="2">
        <v>2</v>
      </c>
      <c r="I45" s="4">
        <f t="shared" si="9"/>
        <v>1.75</v>
      </c>
      <c r="M45" s="11">
        <v>10</v>
      </c>
      <c r="N45" s="4">
        <f t="shared" si="8"/>
        <v>12.5</v>
      </c>
    </row>
    <row r="46" spans="8:14" ht="19.5" thickBot="1">
      <c r="H46" s="2"/>
      <c r="I46" s="4">
        <f t="shared" si="9"/>
        <v>0</v>
      </c>
      <c r="M46" s="11">
        <v>3</v>
      </c>
      <c r="N46" s="4">
        <f t="shared" si="8"/>
        <v>3.75</v>
      </c>
    </row>
    <row r="47" spans="5:14" ht="19.5" thickBot="1">
      <c r="E47" s="20">
        <v>2.5</v>
      </c>
      <c r="F47" s="4">
        <f>E47*40/30</f>
        <v>3.3333333333333335</v>
      </c>
      <c r="H47" s="2"/>
      <c r="I47" s="4">
        <f t="shared" si="9"/>
        <v>0</v>
      </c>
      <c r="M47" s="8">
        <v>200</v>
      </c>
      <c r="N47" s="4">
        <f>M47*250/200</f>
        <v>250</v>
      </c>
    </row>
    <row r="48" spans="5:14" ht="19.5" thickBot="1">
      <c r="E48" s="21">
        <v>2</v>
      </c>
      <c r="F48" s="4">
        <f aca="true" t="shared" si="10" ref="F48:F54">E48*40/30</f>
        <v>2.6666666666666665</v>
      </c>
      <c r="H48" s="2">
        <v>3</v>
      </c>
      <c r="I48" s="4">
        <f t="shared" si="9"/>
        <v>2.625</v>
      </c>
      <c r="M48" s="11">
        <v>154</v>
      </c>
      <c r="N48" s="4">
        <f>M48*250/200</f>
        <v>192.5</v>
      </c>
    </row>
    <row r="49" spans="5:14" ht="19.5" thickBot="1">
      <c r="E49" s="21">
        <v>5</v>
      </c>
      <c r="F49" s="4">
        <f t="shared" si="10"/>
        <v>6.666666666666667</v>
      </c>
      <c r="H49" s="2"/>
      <c r="I49" s="4">
        <f t="shared" si="9"/>
        <v>0</v>
      </c>
      <c r="M49" s="8">
        <v>200</v>
      </c>
      <c r="N49" s="4">
        <f>M49*250/200</f>
        <v>250</v>
      </c>
    </row>
    <row r="50" spans="5:9" ht="19.5" thickBot="1">
      <c r="E50" s="21"/>
      <c r="F50" s="4">
        <f t="shared" si="10"/>
        <v>0</v>
      </c>
      <c r="H50" s="2">
        <v>3</v>
      </c>
      <c r="I50" s="4">
        <f t="shared" si="9"/>
        <v>2.625</v>
      </c>
    </row>
    <row r="51" spans="5:6" ht="19.5" thickBot="1">
      <c r="E51" s="21">
        <v>11</v>
      </c>
      <c r="F51" s="4">
        <f t="shared" si="10"/>
        <v>14.666666666666666</v>
      </c>
    </row>
    <row r="52" spans="5:6" ht="19.5" thickBot="1">
      <c r="E52" s="21">
        <v>12</v>
      </c>
      <c r="F52" s="4">
        <f t="shared" si="10"/>
        <v>16</v>
      </c>
    </row>
    <row r="53" spans="5:15" ht="19.5" thickBot="1">
      <c r="E53" s="21">
        <v>30</v>
      </c>
      <c r="F53" s="4">
        <f t="shared" si="10"/>
        <v>40</v>
      </c>
      <c r="H53" s="10">
        <v>99</v>
      </c>
      <c r="I53" s="4">
        <f>H53*210/170</f>
        <v>122.29411764705883</v>
      </c>
      <c r="N53" s="18">
        <v>40</v>
      </c>
      <c r="O53" s="4">
        <f>N53*140/65</f>
        <v>86.15384615384616</v>
      </c>
    </row>
    <row r="54" spans="5:15" ht="19.5" thickBot="1">
      <c r="E54" s="21">
        <v>30</v>
      </c>
      <c r="F54" s="4">
        <f t="shared" si="10"/>
        <v>40</v>
      </c>
      <c r="H54" s="11">
        <v>106</v>
      </c>
      <c r="I54" s="4">
        <f aca="true" t="shared" si="11" ref="I54:I63">H54*210/170</f>
        <v>130.94117647058823</v>
      </c>
      <c r="N54" s="19">
        <v>25</v>
      </c>
      <c r="O54" s="4">
        <f aca="true" t="shared" si="12" ref="O54:O59">N54*140/65</f>
        <v>53.84615384615385</v>
      </c>
    </row>
    <row r="55" spans="8:15" ht="19.5" thickBot="1">
      <c r="H55" s="11">
        <v>114</v>
      </c>
      <c r="I55" s="4">
        <f t="shared" si="11"/>
        <v>140.8235294117647</v>
      </c>
      <c r="N55" s="19">
        <v>65</v>
      </c>
      <c r="O55" s="4">
        <f t="shared" si="12"/>
        <v>140</v>
      </c>
    </row>
    <row r="56" spans="8:15" ht="19.5" thickBot="1">
      <c r="H56" s="11">
        <v>124</v>
      </c>
      <c r="I56" s="4">
        <f t="shared" si="11"/>
        <v>153.1764705882353</v>
      </c>
      <c r="K56" s="7">
        <v>32</v>
      </c>
      <c r="L56" s="4">
        <f aca="true" t="shared" si="13" ref="L56:L61">K56*40/30</f>
        <v>42.666666666666664</v>
      </c>
      <c r="N56" s="19">
        <v>3</v>
      </c>
      <c r="O56" s="4">
        <f t="shared" si="12"/>
        <v>6.461538461538462</v>
      </c>
    </row>
    <row r="57" spans="8:15" ht="19.5" thickBot="1">
      <c r="H57" s="11"/>
      <c r="I57" s="4">
        <f t="shared" si="11"/>
        <v>0</v>
      </c>
      <c r="K57" s="8">
        <v>2</v>
      </c>
      <c r="L57" s="4">
        <f t="shared" si="13"/>
        <v>2.6666666666666665</v>
      </c>
      <c r="N57" s="19">
        <v>63</v>
      </c>
      <c r="O57" s="4">
        <f t="shared" si="12"/>
        <v>135.69230769230768</v>
      </c>
    </row>
    <row r="58" spans="8:15" ht="19.5" thickBot="1">
      <c r="H58" s="11">
        <v>18</v>
      </c>
      <c r="I58" s="4">
        <f t="shared" si="11"/>
        <v>22.235294117647058</v>
      </c>
      <c r="K58" s="8">
        <v>3</v>
      </c>
      <c r="L58" s="4">
        <f t="shared" si="13"/>
        <v>4</v>
      </c>
      <c r="N58" s="19">
        <v>3</v>
      </c>
      <c r="O58" s="4">
        <f t="shared" si="12"/>
        <v>6.461538461538462</v>
      </c>
    </row>
    <row r="59" spans="8:15" ht="19.5" thickBot="1">
      <c r="H59" s="11">
        <v>19</v>
      </c>
      <c r="I59" s="4">
        <f t="shared" si="11"/>
        <v>23.470588235294116</v>
      </c>
      <c r="K59" s="8">
        <v>4</v>
      </c>
      <c r="L59" s="4">
        <f t="shared" si="13"/>
        <v>5.333333333333333</v>
      </c>
      <c r="N59" s="19">
        <v>65</v>
      </c>
      <c r="O59" s="4">
        <f t="shared" si="12"/>
        <v>140</v>
      </c>
    </row>
    <row r="60" spans="8:12" ht="19.5" thickBot="1">
      <c r="H60" s="11">
        <v>17</v>
      </c>
      <c r="I60" s="4">
        <f t="shared" si="11"/>
        <v>21</v>
      </c>
      <c r="K60" s="8">
        <v>40</v>
      </c>
      <c r="L60" s="4">
        <f t="shared" si="13"/>
        <v>53.333333333333336</v>
      </c>
    </row>
    <row r="61" spans="3:15" ht="19.5" thickBot="1">
      <c r="C61" s="20">
        <v>1.75</v>
      </c>
      <c r="D61" s="4">
        <f>C61*60/50</f>
        <v>2.1</v>
      </c>
      <c r="H61" s="11">
        <v>3</v>
      </c>
      <c r="I61" s="4">
        <f t="shared" si="11"/>
        <v>3.7058823529411766</v>
      </c>
      <c r="K61" s="8">
        <v>30</v>
      </c>
      <c r="L61" s="4">
        <f t="shared" si="13"/>
        <v>40</v>
      </c>
      <c r="N61" s="5">
        <v>100</v>
      </c>
      <c r="O61" s="4">
        <f>N61*144/75</f>
        <v>192</v>
      </c>
    </row>
    <row r="62" spans="3:15" ht="19.5" thickBot="1">
      <c r="C62" s="21">
        <v>3</v>
      </c>
      <c r="D62" s="4">
        <f aca="true" t="shared" si="14" ref="D62:D67">C62*60/50</f>
        <v>3.6</v>
      </c>
      <c r="H62" s="11">
        <v>120</v>
      </c>
      <c r="I62" s="4">
        <f t="shared" si="11"/>
        <v>148.23529411764707</v>
      </c>
      <c r="N62" s="6">
        <v>107</v>
      </c>
      <c r="O62" s="4">
        <f>N62*144/75</f>
        <v>205.44</v>
      </c>
    </row>
    <row r="63" spans="3:15" ht="19.5" thickBot="1">
      <c r="C63" s="21">
        <v>5</v>
      </c>
      <c r="D63" s="4">
        <f t="shared" si="14"/>
        <v>6</v>
      </c>
      <c r="H63" s="8">
        <v>170</v>
      </c>
      <c r="I63" s="4">
        <f t="shared" si="11"/>
        <v>210</v>
      </c>
      <c r="K63" s="1">
        <v>7.5</v>
      </c>
      <c r="L63" s="4">
        <f aca="true" t="shared" si="15" ref="L63:L68">K63*31/25</f>
        <v>9.3</v>
      </c>
      <c r="N63" s="6">
        <v>115</v>
      </c>
      <c r="O63" s="4">
        <f>N63*144/75</f>
        <v>220.8</v>
      </c>
    </row>
    <row r="64" spans="3:15" ht="19.5" thickBot="1">
      <c r="C64" s="21">
        <v>15</v>
      </c>
      <c r="D64" s="4">
        <f t="shared" si="14"/>
        <v>18</v>
      </c>
      <c r="K64" s="2">
        <v>1.25</v>
      </c>
      <c r="L64" s="4">
        <f t="shared" si="15"/>
        <v>1.55</v>
      </c>
      <c r="N64" s="6">
        <v>125</v>
      </c>
      <c r="O64" s="4">
        <f>N64*144/75</f>
        <v>240</v>
      </c>
    </row>
    <row r="65" spans="3:12" ht="19.5" thickBot="1">
      <c r="C65" s="21">
        <v>17</v>
      </c>
      <c r="D65" s="4">
        <f t="shared" si="14"/>
        <v>20.4</v>
      </c>
      <c r="K65" s="2">
        <v>3</v>
      </c>
      <c r="L65" s="4">
        <f t="shared" si="15"/>
        <v>3.72</v>
      </c>
    </row>
    <row r="66" spans="3:12" ht="19.5" thickBot="1">
      <c r="C66" s="21">
        <v>1</v>
      </c>
      <c r="D66" s="4">
        <f t="shared" si="14"/>
        <v>1.2</v>
      </c>
      <c r="K66" s="2">
        <v>12.5</v>
      </c>
      <c r="L66" s="4">
        <f t="shared" si="15"/>
        <v>15.5</v>
      </c>
    </row>
    <row r="67" spans="3:12" ht="19.5" thickBot="1">
      <c r="C67" s="21">
        <v>50</v>
      </c>
      <c r="D67" s="4">
        <f t="shared" si="14"/>
        <v>60</v>
      </c>
      <c r="K67" s="2">
        <v>22.5</v>
      </c>
      <c r="L67" s="4">
        <f t="shared" si="15"/>
        <v>27.9</v>
      </c>
    </row>
    <row r="68" spans="11:12" ht="19.5" thickBot="1">
      <c r="K68" s="2">
        <v>25</v>
      </c>
      <c r="L68" s="4">
        <f t="shared" si="15"/>
        <v>31</v>
      </c>
    </row>
    <row r="69" spans="6:7" ht="19.5" thickBot="1">
      <c r="F69" s="1">
        <v>33</v>
      </c>
      <c r="G69" s="4">
        <f>F69*70/60</f>
        <v>38.5</v>
      </c>
    </row>
    <row r="70" spans="6:7" ht="19.5" thickBot="1">
      <c r="F70" s="2">
        <v>1</v>
      </c>
      <c r="G70" s="4">
        <f aca="true" t="shared" si="16" ref="G70:G79">F70*70/60</f>
        <v>1.1666666666666667</v>
      </c>
    </row>
    <row r="71" spans="6:11" ht="19.5" thickBot="1">
      <c r="F71" s="2">
        <v>2</v>
      </c>
      <c r="G71" s="4">
        <f t="shared" si="16"/>
        <v>2.3333333333333335</v>
      </c>
      <c r="J71" s="5">
        <v>50</v>
      </c>
      <c r="K71" s="4">
        <f>J71*70/80</f>
        <v>43.75</v>
      </c>
    </row>
    <row r="72" spans="6:11" ht="19.5" thickBot="1">
      <c r="F72" s="2">
        <v>3</v>
      </c>
      <c r="G72" s="4">
        <f t="shared" si="16"/>
        <v>3.5</v>
      </c>
      <c r="J72" s="6">
        <v>1.5</v>
      </c>
      <c r="K72" s="4">
        <f aca="true" t="shared" si="17" ref="K72:K83">J72*70/80</f>
        <v>1.3125</v>
      </c>
    </row>
    <row r="73" spans="6:11" ht="19.5" thickBot="1">
      <c r="F73" s="2">
        <v>2</v>
      </c>
      <c r="G73" s="4">
        <f t="shared" si="16"/>
        <v>2.3333333333333335</v>
      </c>
      <c r="J73" s="6">
        <v>30</v>
      </c>
      <c r="K73" s="4">
        <f t="shared" si="17"/>
        <v>26.25</v>
      </c>
    </row>
    <row r="74" spans="6:11" ht="19.5" thickBot="1">
      <c r="F74" s="2">
        <v>12</v>
      </c>
      <c r="G74" s="4">
        <f t="shared" si="16"/>
        <v>14</v>
      </c>
      <c r="J74" s="6">
        <v>5</v>
      </c>
      <c r="K74" s="4">
        <f t="shared" si="17"/>
        <v>4.375</v>
      </c>
    </row>
    <row r="75" spans="6:11" ht="19.5" thickBot="1">
      <c r="F75" s="2">
        <v>51</v>
      </c>
      <c r="G75" s="4">
        <f t="shared" si="16"/>
        <v>59.5</v>
      </c>
      <c r="J75" s="6">
        <v>2</v>
      </c>
      <c r="K75" s="4">
        <f t="shared" si="17"/>
        <v>1.75</v>
      </c>
    </row>
    <row r="76" spans="6:11" ht="19.5" thickBot="1">
      <c r="F76" s="2">
        <v>1</v>
      </c>
      <c r="G76" s="4">
        <f t="shared" si="16"/>
        <v>1.1666666666666667</v>
      </c>
      <c r="J76" s="6">
        <v>5</v>
      </c>
      <c r="K76" s="4">
        <f t="shared" si="17"/>
        <v>4.375</v>
      </c>
    </row>
    <row r="77" spans="6:11" ht="19.5" thickBot="1">
      <c r="F77" s="2">
        <v>20</v>
      </c>
      <c r="G77" s="4">
        <f t="shared" si="16"/>
        <v>23.333333333333332</v>
      </c>
      <c r="J77" s="6">
        <v>3</v>
      </c>
      <c r="K77" s="4">
        <f t="shared" si="17"/>
        <v>2.625</v>
      </c>
    </row>
    <row r="78" spans="6:11" ht="19.5" thickBot="1">
      <c r="F78" s="2">
        <v>1</v>
      </c>
      <c r="G78" s="4">
        <f t="shared" si="16"/>
        <v>1.1666666666666667</v>
      </c>
      <c r="J78" s="6">
        <v>3</v>
      </c>
      <c r="K78" s="4">
        <f t="shared" si="17"/>
        <v>2.625</v>
      </c>
    </row>
    <row r="79" spans="6:11" ht="19.5" thickBot="1">
      <c r="F79" s="2">
        <v>60</v>
      </c>
      <c r="G79" s="4">
        <f t="shared" si="16"/>
        <v>70</v>
      </c>
      <c r="J79" s="6">
        <v>30</v>
      </c>
      <c r="K79" s="4">
        <f t="shared" si="17"/>
        <v>26.25</v>
      </c>
    </row>
    <row r="80" spans="10:11" ht="18.75">
      <c r="J80" s="12"/>
      <c r="K80" s="4">
        <f t="shared" si="17"/>
        <v>0</v>
      </c>
    </row>
    <row r="81" spans="10:11" ht="19.5" thickBot="1">
      <c r="J81" s="6">
        <v>3</v>
      </c>
      <c r="K81" s="4">
        <f t="shared" si="17"/>
        <v>2.625</v>
      </c>
    </row>
    <row r="82" spans="10:11" ht="18.75">
      <c r="J82" s="194">
        <v>3</v>
      </c>
      <c r="K82" s="4">
        <f t="shared" si="17"/>
        <v>2.625</v>
      </c>
    </row>
    <row r="83" spans="10:11" ht="19.5" thickBot="1">
      <c r="J83" s="195"/>
      <c r="K83" s="4">
        <f t="shared" si="17"/>
        <v>0</v>
      </c>
    </row>
    <row r="86" ht="19.5" thickBot="1"/>
    <row r="87" spans="7:8" ht="19.5" thickBot="1">
      <c r="G87" s="5">
        <v>108</v>
      </c>
      <c r="H87" s="4">
        <f>G87*2</f>
        <v>216</v>
      </c>
    </row>
    <row r="88" spans="4:8" ht="19.5" thickBot="1">
      <c r="D88" s="7">
        <v>10</v>
      </c>
      <c r="E88" s="4">
        <f>D88*160/200</f>
        <v>8</v>
      </c>
      <c r="G88" s="6">
        <v>3</v>
      </c>
      <c r="H88" s="4">
        <f aca="true" t="shared" si="18" ref="H88:H97">G88*2</f>
        <v>6</v>
      </c>
    </row>
    <row r="89" spans="4:8" ht="19.5" thickBot="1">
      <c r="D89" s="8">
        <v>10</v>
      </c>
      <c r="E89" s="4">
        <f aca="true" t="shared" si="19" ref="E89:E95">D89*160/200</f>
        <v>8</v>
      </c>
      <c r="G89" s="6">
        <v>2</v>
      </c>
      <c r="H89" s="4">
        <f t="shared" si="18"/>
        <v>4</v>
      </c>
    </row>
    <row r="90" spans="4:8" ht="19.5" thickBot="1">
      <c r="D90" s="8">
        <v>180</v>
      </c>
      <c r="E90" s="4">
        <f t="shared" si="19"/>
        <v>144</v>
      </c>
      <c r="G90" s="6"/>
      <c r="H90" s="4">
        <f t="shared" si="18"/>
        <v>0</v>
      </c>
    </row>
    <row r="91" spans="4:13" ht="19.5" thickBot="1">
      <c r="D91" s="8">
        <v>20</v>
      </c>
      <c r="E91" s="4">
        <f t="shared" si="19"/>
        <v>16</v>
      </c>
      <c r="G91" s="6">
        <v>5</v>
      </c>
      <c r="H91" s="4">
        <f t="shared" si="18"/>
        <v>10</v>
      </c>
      <c r="J91" s="1">
        <v>81</v>
      </c>
      <c r="K91" s="4">
        <f>J91*20/50</f>
        <v>32.4</v>
      </c>
      <c r="L91" s="13">
        <v>8</v>
      </c>
      <c r="M91" s="4">
        <f>L91*180/160</f>
        <v>9</v>
      </c>
    </row>
    <row r="92" spans="4:13" ht="19.5" thickBot="1">
      <c r="D92" s="8">
        <v>5</v>
      </c>
      <c r="E92" s="4">
        <f t="shared" si="19"/>
        <v>4</v>
      </c>
      <c r="G92" s="6">
        <v>5.3</v>
      </c>
      <c r="H92" s="4">
        <f t="shared" si="18"/>
        <v>10.6</v>
      </c>
      <c r="J92" s="2">
        <v>71</v>
      </c>
      <c r="K92" s="4">
        <f>J92*20/50</f>
        <v>28.4</v>
      </c>
      <c r="L92" s="9">
        <v>8</v>
      </c>
      <c r="M92" s="4">
        <f aca="true" t="shared" si="20" ref="M92:M98">L92*180/160</f>
        <v>9</v>
      </c>
    </row>
    <row r="93" spans="4:13" ht="19.5" thickBot="1">
      <c r="D93" s="8">
        <v>197</v>
      </c>
      <c r="E93" s="4">
        <f t="shared" si="19"/>
        <v>157.6</v>
      </c>
      <c r="G93" s="6">
        <v>4</v>
      </c>
      <c r="H93" s="4">
        <f t="shared" si="18"/>
        <v>8</v>
      </c>
      <c r="J93" s="2">
        <v>73</v>
      </c>
      <c r="K93" s="4">
        <f>J93*20/50</f>
        <v>29.2</v>
      </c>
      <c r="L93" s="9">
        <v>144</v>
      </c>
      <c r="M93" s="4">
        <f t="shared" si="20"/>
        <v>162</v>
      </c>
    </row>
    <row r="94" spans="4:13" ht="19.5" thickBot="1">
      <c r="D94" s="8">
        <v>3</v>
      </c>
      <c r="E94" s="4">
        <f t="shared" si="19"/>
        <v>2.4</v>
      </c>
      <c r="G94" s="6">
        <v>0.005</v>
      </c>
      <c r="H94" s="4">
        <f t="shared" si="18"/>
        <v>0.01</v>
      </c>
      <c r="L94" s="9">
        <v>16</v>
      </c>
      <c r="M94" s="4">
        <f t="shared" si="20"/>
        <v>18</v>
      </c>
    </row>
    <row r="95" spans="4:13" ht="19.5" thickBot="1">
      <c r="D95" s="8">
        <v>200</v>
      </c>
      <c r="E95" s="4">
        <f t="shared" si="19"/>
        <v>160</v>
      </c>
      <c r="G95" s="6">
        <v>0.6</v>
      </c>
      <c r="H95" s="4">
        <f t="shared" si="18"/>
        <v>1.2</v>
      </c>
      <c r="L95" s="9">
        <v>4</v>
      </c>
      <c r="M95" s="4">
        <f t="shared" si="20"/>
        <v>4.5</v>
      </c>
    </row>
    <row r="96" spans="7:13" ht="19.5" thickBot="1">
      <c r="G96" s="6">
        <v>0.8</v>
      </c>
      <c r="H96" s="4">
        <f t="shared" si="18"/>
        <v>1.6</v>
      </c>
      <c r="L96" s="9">
        <v>158</v>
      </c>
      <c r="M96" s="4">
        <f t="shared" si="20"/>
        <v>177.75</v>
      </c>
    </row>
    <row r="97" spans="7:13" ht="19.5" thickBot="1">
      <c r="G97" s="6">
        <v>75</v>
      </c>
      <c r="H97" s="4">
        <f t="shared" si="18"/>
        <v>150</v>
      </c>
      <c r="L97" s="9">
        <v>2</v>
      </c>
      <c r="M97" s="4">
        <f t="shared" si="20"/>
        <v>2.25</v>
      </c>
    </row>
    <row r="98" spans="12:13" ht="19.5" thickBot="1">
      <c r="L98" s="9">
        <v>160</v>
      </c>
      <c r="M98" s="4">
        <f t="shared" si="20"/>
        <v>180</v>
      </c>
    </row>
    <row r="101" ht="19.5" thickBot="1"/>
    <row r="102" spans="7:12" ht="19.5" thickBot="1">
      <c r="G102" s="5">
        <v>36</v>
      </c>
      <c r="H102" s="4">
        <f>G102*150/100</f>
        <v>54</v>
      </c>
      <c r="K102" s="5">
        <v>32</v>
      </c>
      <c r="L102" s="4">
        <f>K102*15/20</f>
        <v>24</v>
      </c>
    </row>
    <row r="103" spans="7:12" ht="19.5" thickBot="1">
      <c r="G103" s="6">
        <v>70</v>
      </c>
      <c r="H103" s="4">
        <f aca="true" t="shared" si="21" ref="H103:H110">G103*150/100</f>
        <v>105</v>
      </c>
      <c r="K103" s="6">
        <v>28</v>
      </c>
      <c r="L103" s="4">
        <f>K103*15/20</f>
        <v>21</v>
      </c>
    </row>
    <row r="104" spans="7:12" ht="19.5" thickBot="1">
      <c r="G104" s="6">
        <v>8.5</v>
      </c>
      <c r="H104" s="4">
        <f t="shared" si="21"/>
        <v>12.75</v>
      </c>
      <c r="K104" s="6">
        <v>29</v>
      </c>
      <c r="L104" s="4">
        <f>K104*15/20</f>
        <v>21.75</v>
      </c>
    </row>
    <row r="105" spans="7:8" ht="19.5" thickBot="1">
      <c r="G105" s="6">
        <v>13</v>
      </c>
      <c r="H105" s="4">
        <f t="shared" si="21"/>
        <v>19.5</v>
      </c>
    </row>
    <row r="106" spans="7:8" ht="19.5" thickBot="1">
      <c r="G106" s="6">
        <v>8.5</v>
      </c>
      <c r="H106" s="4">
        <f t="shared" si="21"/>
        <v>12.75</v>
      </c>
    </row>
    <row r="107" spans="7:8" ht="19.5" thickBot="1">
      <c r="G107" s="6">
        <v>14</v>
      </c>
      <c r="H107" s="4">
        <f t="shared" si="21"/>
        <v>21</v>
      </c>
    </row>
    <row r="108" spans="7:8" ht="19.5" thickBot="1">
      <c r="G108" s="6">
        <v>3</v>
      </c>
      <c r="H108" s="4">
        <f t="shared" si="21"/>
        <v>4.5</v>
      </c>
    </row>
    <row r="109" spans="7:8" ht="19.5" thickBot="1">
      <c r="G109" s="6">
        <v>2.5</v>
      </c>
      <c r="H109" s="4">
        <f t="shared" si="21"/>
        <v>3.75</v>
      </c>
    </row>
    <row r="110" spans="7:11" ht="19.5" thickBot="1">
      <c r="G110" s="6">
        <v>100</v>
      </c>
      <c r="H110" s="4">
        <f t="shared" si="21"/>
        <v>150</v>
      </c>
      <c r="J110" s="14">
        <v>40</v>
      </c>
      <c r="K110" s="4">
        <f>J110*70/30</f>
        <v>93.33333333333333</v>
      </c>
    </row>
    <row r="111" spans="10:11" ht="19.5" thickBot="1">
      <c r="J111" s="15">
        <v>43</v>
      </c>
      <c r="K111" s="4">
        <f>J111*70/30</f>
        <v>100.33333333333333</v>
      </c>
    </row>
    <row r="112" spans="10:11" ht="19.5" thickBot="1">
      <c r="J112" s="15">
        <v>16</v>
      </c>
      <c r="K112" s="4">
        <f>J112*70/30</f>
        <v>37.333333333333336</v>
      </c>
    </row>
    <row r="113" spans="10:11" ht="19.5" thickBot="1">
      <c r="J113" s="15">
        <v>50</v>
      </c>
      <c r="K113" s="4">
        <f>J113*70/30</f>
        <v>116.66666666666667</v>
      </c>
    </row>
    <row r="117" ht="19.5" thickBot="1"/>
    <row r="118" spans="7:8" ht="19.5" thickBot="1">
      <c r="G118" s="5">
        <v>75</v>
      </c>
      <c r="H118" s="4">
        <f>G118*250/500</f>
        <v>37.5</v>
      </c>
    </row>
    <row r="119" spans="7:8" ht="19.5" thickBot="1">
      <c r="G119" s="6"/>
      <c r="H119" s="4">
        <f aca="true" t="shared" si="22" ref="H119:H133">G119*250/500</f>
        <v>0</v>
      </c>
    </row>
    <row r="120" spans="7:11" ht="19.5" thickBot="1">
      <c r="G120" s="6">
        <v>66.5</v>
      </c>
      <c r="H120" s="4">
        <f t="shared" si="22"/>
        <v>33.25</v>
      </c>
      <c r="J120" s="13">
        <v>18</v>
      </c>
      <c r="K120" s="4">
        <f>J120*200/180</f>
        <v>20</v>
      </c>
    </row>
    <row r="121" spans="7:11" ht="19.5" thickBot="1">
      <c r="G121" s="6">
        <v>71.5</v>
      </c>
      <c r="H121" s="4">
        <f t="shared" si="22"/>
        <v>35.75</v>
      </c>
      <c r="J121" s="9">
        <v>160</v>
      </c>
      <c r="K121" s="4">
        <f aca="true" t="shared" si="23" ref="K121:K126">J121*200/180</f>
        <v>177.77777777777777</v>
      </c>
    </row>
    <row r="122" spans="7:11" ht="19.5" thickBot="1">
      <c r="G122" s="6">
        <v>77</v>
      </c>
      <c r="H122" s="4">
        <f t="shared" si="22"/>
        <v>38.5</v>
      </c>
      <c r="J122" s="9">
        <v>20</v>
      </c>
      <c r="K122" s="4">
        <f t="shared" si="23"/>
        <v>22.22222222222222</v>
      </c>
    </row>
    <row r="123" spans="7:11" ht="19.5" thickBot="1">
      <c r="G123" s="6">
        <v>83.5</v>
      </c>
      <c r="H123" s="4">
        <f t="shared" si="22"/>
        <v>41.75</v>
      </c>
      <c r="J123" s="9">
        <v>4</v>
      </c>
      <c r="K123" s="4">
        <f t="shared" si="23"/>
        <v>4.444444444444445</v>
      </c>
    </row>
    <row r="124" spans="7:11" ht="19.5" thickBot="1">
      <c r="G124" s="6">
        <v>20</v>
      </c>
      <c r="H124" s="4">
        <f t="shared" si="22"/>
        <v>10</v>
      </c>
      <c r="J124" s="9">
        <v>177</v>
      </c>
      <c r="K124" s="4">
        <f t="shared" si="23"/>
        <v>196.66666666666666</v>
      </c>
    </row>
    <row r="125" spans="7:11" ht="19.5" thickBot="1">
      <c r="G125" s="6">
        <v>10</v>
      </c>
      <c r="H125" s="4">
        <f t="shared" si="22"/>
        <v>5</v>
      </c>
      <c r="J125" s="9">
        <v>3</v>
      </c>
      <c r="K125" s="4">
        <f t="shared" si="23"/>
        <v>3.3333333333333335</v>
      </c>
    </row>
    <row r="126" spans="7:11" ht="19.5" thickBot="1">
      <c r="G126" s="6">
        <v>24</v>
      </c>
      <c r="H126" s="4">
        <f t="shared" si="22"/>
        <v>12</v>
      </c>
      <c r="J126" s="9">
        <v>180</v>
      </c>
      <c r="K126" s="4">
        <f t="shared" si="23"/>
        <v>200</v>
      </c>
    </row>
    <row r="127" spans="7:8" ht="19.5" thickBot="1">
      <c r="G127" s="6"/>
      <c r="H127" s="4">
        <f t="shared" si="22"/>
        <v>0</v>
      </c>
    </row>
    <row r="128" spans="7:11" ht="19.5" thickBot="1">
      <c r="G128" s="6">
        <v>25</v>
      </c>
      <c r="H128" s="4">
        <f t="shared" si="22"/>
        <v>12.5</v>
      </c>
      <c r="J128" s="17">
        <v>199.5</v>
      </c>
      <c r="K128" s="4">
        <f>J128/2</f>
        <v>99.75</v>
      </c>
    </row>
    <row r="129" spans="7:11" ht="19.5" thickBot="1">
      <c r="G129" s="6">
        <v>27</v>
      </c>
      <c r="H129" s="4">
        <f t="shared" si="22"/>
        <v>13.5</v>
      </c>
      <c r="J129" s="16">
        <v>214.5</v>
      </c>
      <c r="K129" s="4">
        <f aca="true" t="shared" si="24" ref="K129:K142">J129/2</f>
        <v>107.25</v>
      </c>
    </row>
    <row r="130" spans="7:11" ht="19.5" thickBot="1">
      <c r="G130" s="6">
        <v>10</v>
      </c>
      <c r="H130" s="4">
        <f t="shared" si="22"/>
        <v>5</v>
      </c>
      <c r="J130" s="16">
        <v>231</v>
      </c>
      <c r="K130" s="4">
        <f t="shared" si="24"/>
        <v>115.5</v>
      </c>
    </row>
    <row r="131" spans="7:11" ht="19.5" thickBot="1">
      <c r="G131" s="6">
        <v>400</v>
      </c>
      <c r="H131" s="4">
        <f t="shared" si="22"/>
        <v>200</v>
      </c>
      <c r="J131" s="16">
        <v>250.5</v>
      </c>
      <c r="K131" s="4">
        <f t="shared" si="24"/>
        <v>125.25</v>
      </c>
    </row>
    <row r="132" spans="7:14" ht="19.5" thickBot="1">
      <c r="G132" s="6">
        <v>425</v>
      </c>
      <c r="H132" s="4">
        <f t="shared" si="22"/>
        <v>212.5</v>
      </c>
      <c r="J132" s="16">
        <v>20</v>
      </c>
      <c r="K132" s="4">
        <f t="shared" si="24"/>
        <v>10</v>
      </c>
      <c r="M132" s="5">
        <v>84</v>
      </c>
      <c r="N132" s="4">
        <f>M132*60/63</f>
        <v>80</v>
      </c>
    </row>
    <row r="133" spans="7:13" ht="19.5" thickBot="1">
      <c r="G133" s="6">
        <v>500</v>
      </c>
      <c r="H133" s="4">
        <f t="shared" si="22"/>
        <v>250</v>
      </c>
      <c r="J133" s="16">
        <v>10</v>
      </c>
      <c r="K133" s="4">
        <f t="shared" si="24"/>
        <v>5</v>
      </c>
      <c r="M133" s="6">
        <v>90</v>
      </c>
    </row>
    <row r="134" spans="4:13" ht="19.5" thickBot="1">
      <c r="D134" s="5">
        <v>100</v>
      </c>
      <c r="E134" s="4">
        <f>D134*63/75</f>
        <v>84</v>
      </c>
      <c r="J134" s="16">
        <v>15</v>
      </c>
      <c r="K134" s="4">
        <f t="shared" si="24"/>
        <v>7.5</v>
      </c>
      <c r="M134" s="6">
        <v>97</v>
      </c>
    </row>
    <row r="135" spans="4:13" ht="19.5" thickBot="1">
      <c r="D135" s="6">
        <v>107</v>
      </c>
      <c r="E135" s="4">
        <f>D135*63/75</f>
        <v>89.88</v>
      </c>
      <c r="J135" s="16"/>
      <c r="K135" s="4">
        <f t="shared" si="24"/>
        <v>0</v>
      </c>
      <c r="M135" s="6">
        <v>105</v>
      </c>
    </row>
    <row r="136" spans="4:11" ht="19.5" thickBot="1">
      <c r="D136" s="6">
        <v>116</v>
      </c>
      <c r="E136" s="4">
        <f>D136*63/75</f>
        <v>97.44</v>
      </c>
      <c r="J136" s="16">
        <v>25</v>
      </c>
      <c r="K136" s="4">
        <f t="shared" si="24"/>
        <v>12.5</v>
      </c>
    </row>
    <row r="137" spans="4:11" ht="19.5" thickBot="1">
      <c r="D137" s="6">
        <v>125</v>
      </c>
      <c r="E137" s="4">
        <f>D137*63/75</f>
        <v>105</v>
      </c>
      <c r="J137" s="16">
        <v>27</v>
      </c>
      <c r="K137" s="4">
        <f t="shared" si="24"/>
        <v>13.5</v>
      </c>
    </row>
    <row r="138" spans="6:11" ht="19.5" thickBot="1">
      <c r="F138" s="13">
        <v>18</v>
      </c>
      <c r="G138" s="4">
        <f>F138*200/180</f>
        <v>20</v>
      </c>
      <c r="J138" s="16">
        <v>24</v>
      </c>
      <c r="K138" s="4">
        <f t="shared" si="24"/>
        <v>12</v>
      </c>
    </row>
    <row r="139" spans="6:14" ht="19.5" thickBot="1">
      <c r="F139" s="9">
        <v>160</v>
      </c>
      <c r="G139" s="4">
        <f aca="true" t="shared" si="25" ref="G139:G144">F139*200/180</f>
        <v>177.77777777777777</v>
      </c>
      <c r="J139" s="16">
        <v>5</v>
      </c>
      <c r="K139" s="4">
        <f t="shared" si="24"/>
        <v>2.5</v>
      </c>
      <c r="M139" s="7">
        <v>20</v>
      </c>
      <c r="N139" s="4">
        <f>M139*160/200</f>
        <v>16</v>
      </c>
    </row>
    <row r="140" spans="6:14" ht="19.5" thickBot="1">
      <c r="F140" s="9">
        <v>20</v>
      </c>
      <c r="G140" s="4">
        <f t="shared" si="25"/>
        <v>22.22222222222222</v>
      </c>
      <c r="J140" s="16">
        <v>350</v>
      </c>
      <c r="K140" s="4">
        <f t="shared" si="24"/>
        <v>175</v>
      </c>
      <c r="M140" s="8">
        <v>180</v>
      </c>
      <c r="N140" s="4">
        <f aca="true" t="shared" si="26" ref="N140:N146">M140*160/200</f>
        <v>144</v>
      </c>
    </row>
    <row r="141" spans="6:14" ht="19.5" thickBot="1">
      <c r="F141" s="9">
        <v>4</v>
      </c>
      <c r="G141" s="4">
        <f t="shared" si="25"/>
        <v>4.444444444444445</v>
      </c>
      <c r="J141" s="16">
        <v>375</v>
      </c>
      <c r="K141" s="4">
        <f t="shared" si="24"/>
        <v>187.5</v>
      </c>
      <c r="M141" s="8">
        <v>20</v>
      </c>
      <c r="N141" s="4">
        <f t="shared" si="26"/>
        <v>16</v>
      </c>
    </row>
    <row r="142" spans="6:14" ht="19.5" thickBot="1">
      <c r="F142" s="9">
        <v>177</v>
      </c>
      <c r="G142" s="4">
        <f t="shared" si="25"/>
        <v>196.66666666666666</v>
      </c>
      <c r="J142" s="16">
        <v>500</v>
      </c>
      <c r="K142" s="4">
        <f t="shared" si="24"/>
        <v>250</v>
      </c>
      <c r="M142" s="8">
        <v>5</v>
      </c>
      <c r="N142" s="4">
        <f t="shared" si="26"/>
        <v>4</v>
      </c>
    </row>
    <row r="143" spans="6:14" ht="19.5" thickBot="1">
      <c r="F143" s="9">
        <v>3</v>
      </c>
      <c r="G143" s="4">
        <f t="shared" si="25"/>
        <v>3.3333333333333335</v>
      </c>
      <c r="M143" s="8">
        <v>197</v>
      </c>
      <c r="N143" s="4">
        <f t="shared" si="26"/>
        <v>157.6</v>
      </c>
    </row>
    <row r="144" spans="6:14" ht="19.5" thickBot="1">
      <c r="F144" s="9">
        <v>180</v>
      </c>
      <c r="G144" s="4">
        <f t="shared" si="25"/>
        <v>200</v>
      </c>
      <c r="M144" s="8">
        <v>3</v>
      </c>
      <c r="N144" s="4">
        <f t="shared" si="26"/>
        <v>2.4</v>
      </c>
    </row>
    <row r="145" spans="13:14" ht="19.5" thickBot="1">
      <c r="M145" s="8">
        <v>200</v>
      </c>
      <c r="N145" s="4">
        <f t="shared" si="26"/>
        <v>160</v>
      </c>
    </row>
    <row r="146" spans="13:14" ht="19.5" thickBot="1">
      <c r="M146" s="9">
        <v>200</v>
      </c>
      <c r="N146" s="4">
        <f t="shared" si="26"/>
        <v>160</v>
      </c>
    </row>
    <row r="161" ht="19.5" thickBot="1"/>
    <row r="162" spans="6:7" ht="19.5" thickBot="1">
      <c r="F162" s="20">
        <v>124</v>
      </c>
      <c r="G162" s="4">
        <f>F162*15/47</f>
        <v>39.57446808510638</v>
      </c>
    </row>
    <row r="163" spans="6:7" ht="19.5" thickBot="1">
      <c r="F163" s="21">
        <v>115</v>
      </c>
      <c r="G163" s="4">
        <f>F163*15/47</f>
        <v>36.702127659574465</v>
      </c>
    </row>
    <row r="164" spans="6:7" ht="19.5" thickBot="1">
      <c r="F164" s="21">
        <v>105</v>
      </c>
      <c r="G164" s="4">
        <f>F164*15/47</f>
        <v>33.51063829787234</v>
      </c>
    </row>
    <row r="171" spans="9:10" ht="18.75">
      <c r="I171" s="4">
        <v>140</v>
      </c>
      <c r="J171" s="4">
        <f>I171*50/47</f>
        <v>148.93617021276594</v>
      </c>
    </row>
    <row r="172" spans="9:10" ht="18.75">
      <c r="I172" s="4">
        <v>129</v>
      </c>
      <c r="J172" s="4">
        <f>I172*50/47</f>
        <v>137.2340425531915</v>
      </c>
    </row>
    <row r="173" spans="9:10" ht="18.75">
      <c r="I173" s="4">
        <v>114</v>
      </c>
      <c r="J173" s="4">
        <f>I173*50/47</f>
        <v>121.27659574468085</v>
      </c>
    </row>
    <row r="177" ht="19.5" thickBot="1"/>
    <row r="178" spans="8:9" ht="19.5" thickBot="1">
      <c r="H178" s="13">
        <v>86</v>
      </c>
      <c r="I178" s="4">
        <f>H178*100/140</f>
        <v>61.42857142857143</v>
      </c>
    </row>
    <row r="179" spans="8:9" ht="19.5" thickBot="1">
      <c r="H179" s="9">
        <v>54</v>
      </c>
      <c r="I179" s="4">
        <f aca="true" t="shared" si="27" ref="I179:I184">H179*100/140</f>
        <v>38.57142857142857</v>
      </c>
    </row>
    <row r="180" spans="8:9" ht="19.5" thickBot="1">
      <c r="H180" s="9">
        <v>140</v>
      </c>
      <c r="I180" s="4">
        <f t="shared" si="27"/>
        <v>100</v>
      </c>
    </row>
    <row r="181" spans="8:9" ht="19.5" thickBot="1">
      <c r="H181" s="9">
        <v>5</v>
      </c>
      <c r="I181" s="4">
        <f t="shared" si="27"/>
        <v>3.5714285714285716</v>
      </c>
    </row>
    <row r="182" spans="8:9" ht="19.5" thickBot="1">
      <c r="H182" s="9">
        <v>136</v>
      </c>
      <c r="I182" s="4">
        <f t="shared" si="27"/>
        <v>97.14285714285714</v>
      </c>
    </row>
    <row r="183" spans="8:12" ht="19.5" thickBot="1">
      <c r="H183" s="9">
        <v>4</v>
      </c>
      <c r="I183" s="4">
        <f t="shared" si="27"/>
        <v>2.857142857142857</v>
      </c>
      <c r="K183" s="20">
        <v>141</v>
      </c>
      <c r="L183" s="4">
        <f>K183*230/200</f>
        <v>162.15</v>
      </c>
    </row>
    <row r="184" spans="4:12" ht="19.5" thickBot="1">
      <c r="D184" s="5">
        <v>192</v>
      </c>
      <c r="E184" s="4">
        <f>D184*230/200</f>
        <v>220.8</v>
      </c>
      <c r="H184" s="9">
        <v>140</v>
      </c>
      <c r="I184" s="4">
        <f t="shared" si="27"/>
        <v>100</v>
      </c>
      <c r="K184" s="21">
        <v>150</v>
      </c>
      <c r="L184" s="4">
        <f aca="true" t="shared" si="28" ref="L184:L193">K184*230/200</f>
        <v>172.5</v>
      </c>
    </row>
    <row r="185" spans="4:12" ht="19.5" thickBot="1">
      <c r="D185" s="6">
        <v>205</v>
      </c>
      <c r="E185" s="4">
        <f aca="true" t="shared" si="29" ref="E185:E203">D185*230/200</f>
        <v>235.75</v>
      </c>
      <c r="K185" s="21">
        <v>116</v>
      </c>
      <c r="L185" s="4">
        <f t="shared" si="28"/>
        <v>133.4</v>
      </c>
    </row>
    <row r="186" spans="4:12" ht="19.5" thickBot="1">
      <c r="D186" s="6">
        <v>221</v>
      </c>
      <c r="E186" s="4">
        <f t="shared" si="29"/>
        <v>254.15</v>
      </c>
      <c r="K186" s="21">
        <v>10</v>
      </c>
      <c r="L186" s="4">
        <f t="shared" si="28"/>
        <v>11.5</v>
      </c>
    </row>
    <row r="187" spans="4:12" ht="19.5" thickBot="1">
      <c r="D187" s="6">
        <v>240</v>
      </c>
      <c r="E187" s="4">
        <f t="shared" si="29"/>
        <v>276</v>
      </c>
      <c r="K187" s="21">
        <v>40</v>
      </c>
      <c r="L187" s="4">
        <f t="shared" si="28"/>
        <v>46</v>
      </c>
    </row>
    <row r="188" spans="4:12" ht="19.5" thickBot="1">
      <c r="D188" s="6"/>
      <c r="E188" s="4">
        <f t="shared" si="29"/>
        <v>0</v>
      </c>
      <c r="K188" s="21">
        <v>5</v>
      </c>
      <c r="L188" s="4">
        <f t="shared" si="28"/>
        <v>5.75</v>
      </c>
    </row>
    <row r="189" spans="4:12" ht="19.5" thickBot="1">
      <c r="D189" s="6">
        <v>55</v>
      </c>
      <c r="E189" s="4">
        <f t="shared" si="29"/>
        <v>63.25</v>
      </c>
      <c r="K189" s="21">
        <v>5</v>
      </c>
      <c r="L189" s="4">
        <f t="shared" si="28"/>
        <v>5.75</v>
      </c>
    </row>
    <row r="190" spans="4:12" ht="19.5" thickBot="1">
      <c r="D190" s="6"/>
      <c r="E190" s="4">
        <f t="shared" si="29"/>
        <v>0</v>
      </c>
      <c r="K190" s="21">
        <v>215</v>
      </c>
      <c r="L190" s="4">
        <f t="shared" si="28"/>
        <v>247.25</v>
      </c>
    </row>
    <row r="191" spans="4:12" ht="19.5" thickBot="1">
      <c r="D191" s="6"/>
      <c r="E191" s="4">
        <f t="shared" si="29"/>
        <v>0</v>
      </c>
      <c r="K191" s="21">
        <v>10</v>
      </c>
      <c r="L191" s="4">
        <f t="shared" si="28"/>
        <v>11.5</v>
      </c>
    </row>
    <row r="192" spans="4:12" ht="19.5" thickBot="1">
      <c r="D192" s="6">
        <v>54</v>
      </c>
      <c r="E192" s="4">
        <f t="shared" si="29"/>
        <v>62.1</v>
      </c>
      <c r="K192" s="21">
        <v>225</v>
      </c>
      <c r="L192" s="4">
        <f t="shared" si="28"/>
        <v>258.75</v>
      </c>
    </row>
    <row r="193" spans="4:12" ht="19.5" thickBot="1">
      <c r="D193" s="6">
        <v>57</v>
      </c>
      <c r="E193" s="4">
        <f t="shared" si="29"/>
        <v>65.55</v>
      </c>
      <c r="K193" s="21">
        <v>200</v>
      </c>
      <c r="L193" s="4">
        <f t="shared" si="28"/>
        <v>230</v>
      </c>
    </row>
    <row r="194" spans="4:5" ht="19.5" thickBot="1">
      <c r="D194" s="6"/>
      <c r="E194" s="4">
        <f t="shared" si="29"/>
        <v>0</v>
      </c>
    </row>
    <row r="195" spans="4:5" ht="19.5" thickBot="1">
      <c r="D195" s="6">
        <v>24</v>
      </c>
      <c r="E195" s="4">
        <f t="shared" si="29"/>
        <v>27.6</v>
      </c>
    </row>
    <row r="196" spans="4:5" ht="19.5" thickBot="1">
      <c r="D196" s="6"/>
      <c r="E196" s="4">
        <f t="shared" si="29"/>
        <v>0</v>
      </c>
    </row>
    <row r="197" spans="4:5" ht="19.5" thickBot="1">
      <c r="D197" s="6">
        <v>15</v>
      </c>
      <c r="E197" s="4">
        <f t="shared" si="29"/>
        <v>17.25</v>
      </c>
    </row>
    <row r="198" spans="4:5" ht="19.5" thickBot="1">
      <c r="D198" s="21">
        <v>10</v>
      </c>
      <c r="E198" s="4">
        <f t="shared" si="29"/>
        <v>11.5</v>
      </c>
    </row>
    <row r="199" spans="4:5" ht="19.5" thickBot="1">
      <c r="D199" s="21" t="s">
        <v>141</v>
      </c>
      <c r="E199" s="4" t="e">
        <f t="shared" si="29"/>
        <v>#VALUE!</v>
      </c>
    </row>
    <row r="200" spans="4:11" ht="19.5" thickBot="1">
      <c r="D200" s="21">
        <v>5</v>
      </c>
      <c r="E200" s="4">
        <f t="shared" si="29"/>
        <v>5.75</v>
      </c>
      <c r="J200" s="5">
        <v>221</v>
      </c>
      <c r="K200" s="4">
        <f>J200*250/230</f>
        <v>240.2173913043478</v>
      </c>
    </row>
    <row r="201" spans="4:11" ht="19.5" thickBot="1">
      <c r="D201" s="21">
        <v>10</v>
      </c>
      <c r="E201" s="4">
        <f t="shared" si="29"/>
        <v>11.5</v>
      </c>
      <c r="J201" s="6">
        <v>236</v>
      </c>
      <c r="K201" s="4">
        <f aca="true" t="shared" si="30" ref="K201:K219">J201*250/230</f>
        <v>256.5217391304348</v>
      </c>
    </row>
    <row r="202" spans="4:11" ht="19.5" thickBot="1">
      <c r="D202" s="21">
        <v>235</v>
      </c>
      <c r="E202" s="4">
        <f t="shared" si="29"/>
        <v>270.25</v>
      </c>
      <c r="J202" s="6">
        <v>254</v>
      </c>
      <c r="K202" s="4">
        <f t="shared" si="30"/>
        <v>276.0869565217391</v>
      </c>
    </row>
    <row r="203" spans="4:11" ht="19.5" thickBot="1">
      <c r="D203" s="21">
        <v>200</v>
      </c>
      <c r="E203" s="4">
        <f t="shared" si="29"/>
        <v>230</v>
      </c>
      <c r="J203" s="6">
        <v>276</v>
      </c>
      <c r="K203" s="4">
        <f t="shared" si="30"/>
        <v>300</v>
      </c>
    </row>
    <row r="204" spans="10:11" ht="19.5" thickBot="1">
      <c r="J204" s="6"/>
      <c r="K204" s="4">
        <f t="shared" si="30"/>
        <v>0</v>
      </c>
    </row>
    <row r="205" spans="10:11" ht="19.5" thickBot="1">
      <c r="J205" s="6">
        <v>63</v>
      </c>
      <c r="K205" s="4">
        <f t="shared" si="30"/>
        <v>68.47826086956522</v>
      </c>
    </row>
    <row r="206" spans="10:11" ht="19.5" thickBot="1">
      <c r="J206" s="6"/>
      <c r="K206" s="4">
        <f t="shared" si="30"/>
        <v>0</v>
      </c>
    </row>
    <row r="207" spans="10:11" ht="19.5" thickBot="1">
      <c r="J207" s="6"/>
      <c r="K207" s="4">
        <f t="shared" si="30"/>
        <v>0</v>
      </c>
    </row>
    <row r="208" spans="10:11" ht="19.5" thickBot="1">
      <c r="J208" s="6">
        <v>62</v>
      </c>
      <c r="K208" s="4">
        <f t="shared" si="30"/>
        <v>67.3913043478261</v>
      </c>
    </row>
    <row r="209" spans="10:11" ht="19.5" thickBot="1">
      <c r="J209" s="6">
        <v>66</v>
      </c>
      <c r="K209" s="4">
        <f t="shared" si="30"/>
        <v>71.73913043478261</v>
      </c>
    </row>
    <row r="210" spans="10:11" ht="19.5" thickBot="1">
      <c r="J210" s="6"/>
      <c r="K210" s="4">
        <f t="shared" si="30"/>
        <v>0</v>
      </c>
    </row>
    <row r="211" spans="10:11" ht="19.5" thickBot="1">
      <c r="J211" s="6">
        <v>28</v>
      </c>
      <c r="K211" s="4">
        <f t="shared" si="30"/>
        <v>30.434782608695652</v>
      </c>
    </row>
    <row r="212" spans="10:11" ht="19.5" thickBot="1">
      <c r="J212" s="6"/>
      <c r="K212" s="4">
        <f t="shared" si="30"/>
        <v>0</v>
      </c>
    </row>
    <row r="213" spans="10:11" ht="19.5" thickBot="1">
      <c r="J213" s="6">
        <v>15</v>
      </c>
      <c r="K213" s="4">
        <f t="shared" si="30"/>
        <v>16.304347826086957</v>
      </c>
    </row>
    <row r="214" spans="10:11" ht="19.5" thickBot="1">
      <c r="J214" s="6">
        <v>12</v>
      </c>
      <c r="K214" s="4">
        <f t="shared" si="30"/>
        <v>13.043478260869565</v>
      </c>
    </row>
    <row r="215" spans="10:11" ht="19.5" thickBot="1">
      <c r="J215" s="6">
        <v>9</v>
      </c>
      <c r="K215" s="4">
        <f t="shared" si="30"/>
        <v>9.782608695652174</v>
      </c>
    </row>
    <row r="216" spans="10:11" ht="19.5" thickBot="1">
      <c r="J216" s="6">
        <v>6</v>
      </c>
      <c r="K216" s="4">
        <f t="shared" si="30"/>
        <v>6.521739130434782</v>
      </c>
    </row>
    <row r="217" spans="10:11" ht="19.5" thickBot="1">
      <c r="J217" s="6">
        <v>12</v>
      </c>
      <c r="K217" s="4">
        <f t="shared" si="30"/>
        <v>13.043478260869565</v>
      </c>
    </row>
    <row r="218" spans="10:11" ht="19.5" thickBot="1">
      <c r="J218" s="6">
        <v>270</v>
      </c>
      <c r="K218" s="4">
        <f t="shared" si="30"/>
        <v>293.4782608695652</v>
      </c>
    </row>
    <row r="219" spans="10:11" ht="19.5" thickBot="1">
      <c r="J219" s="6">
        <v>230</v>
      </c>
      <c r="K219" s="4">
        <f t="shared" si="30"/>
        <v>250</v>
      </c>
    </row>
    <row r="221" ht="19.5" thickBot="1"/>
    <row r="222" spans="4:10" ht="19.5" thickBot="1">
      <c r="D222" s="20">
        <v>20</v>
      </c>
      <c r="E222" s="4">
        <f>D222*130/100</f>
        <v>26</v>
      </c>
      <c r="I222" s="5">
        <v>26</v>
      </c>
      <c r="J222" s="4">
        <f>I222*100/130</f>
        <v>20</v>
      </c>
    </row>
    <row r="223" spans="4:13" ht="19.5" thickBot="1">
      <c r="D223" s="21">
        <v>20</v>
      </c>
      <c r="E223" s="4">
        <f aca="true" t="shared" si="31" ref="E223:E235">D223*130/100</f>
        <v>26</v>
      </c>
      <c r="I223" s="6">
        <v>26</v>
      </c>
      <c r="J223" s="4">
        <f aca="true" t="shared" si="32" ref="J223:J236">I223*100/130</f>
        <v>20</v>
      </c>
      <c r="L223" s="13">
        <v>20</v>
      </c>
      <c r="M223" s="4">
        <f aca="true" t="shared" si="33" ref="M223:M229">L223*180/200</f>
        <v>18</v>
      </c>
    </row>
    <row r="224" spans="4:13" ht="19.5" thickBot="1">
      <c r="D224" s="21">
        <v>22</v>
      </c>
      <c r="E224" s="4">
        <f t="shared" si="31"/>
        <v>28.6</v>
      </c>
      <c r="I224" s="6">
        <v>29</v>
      </c>
      <c r="J224" s="4">
        <f t="shared" si="32"/>
        <v>22.307692307692307</v>
      </c>
      <c r="L224" s="9">
        <v>150</v>
      </c>
      <c r="M224" s="4">
        <f t="shared" si="33"/>
        <v>135</v>
      </c>
    </row>
    <row r="225" spans="4:13" ht="19.5" thickBot="1">
      <c r="D225" s="21">
        <v>40</v>
      </c>
      <c r="E225" s="4">
        <f t="shared" si="31"/>
        <v>52</v>
      </c>
      <c r="I225" s="6">
        <v>52</v>
      </c>
      <c r="J225" s="4">
        <f t="shared" si="32"/>
        <v>40</v>
      </c>
      <c r="L225" s="9">
        <v>36</v>
      </c>
      <c r="M225" s="4">
        <f t="shared" si="33"/>
        <v>32.4</v>
      </c>
    </row>
    <row r="226" spans="4:13" ht="19.5" thickBot="1">
      <c r="D226" s="21">
        <v>34</v>
      </c>
      <c r="E226" s="4">
        <f t="shared" si="31"/>
        <v>44.2</v>
      </c>
      <c r="I226" s="6">
        <v>44</v>
      </c>
      <c r="J226" s="4">
        <f t="shared" si="32"/>
        <v>33.84615384615385</v>
      </c>
      <c r="L226" s="9">
        <v>5</v>
      </c>
      <c r="M226" s="4">
        <f t="shared" si="33"/>
        <v>4.5</v>
      </c>
    </row>
    <row r="227" spans="4:13" ht="19.5" thickBot="1">
      <c r="D227" s="21">
        <v>34</v>
      </c>
      <c r="E227" s="4">
        <f t="shared" si="31"/>
        <v>44.2</v>
      </c>
      <c r="I227" s="6">
        <v>44</v>
      </c>
      <c r="J227" s="4">
        <f t="shared" si="32"/>
        <v>33.84615384615385</v>
      </c>
      <c r="L227" s="9">
        <v>197</v>
      </c>
      <c r="M227" s="4">
        <f t="shared" si="33"/>
        <v>177.3</v>
      </c>
    </row>
    <row r="228" spans="4:13" ht="19.5" thickBot="1">
      <c r="D228" s="21">
        <v>32</v>
      </c>
      <c r="E228" s="4">
        <f t="shared" si="31"/>
        <v>41.6</v>
      </c>
      <c r="I228" s="6">
        <v>42</v>
      </c>
      <c r="J228" s="4">
        <f t="shared" si="32"/>
        <v>32.30769230769231</v>
      </c>
      <c r="L228" s="9">
        <v>3</v>
      </c>
      <c r="M228" s="4">
        <f t="shared" si="33"/>
        <v>2.7</v>
      </c>
    </row>
    <row r="229" spans="4:13" ht="19.5" thickBot="1">
      <c r="D229" s="21">
        <v>4</v>
      </c>
      <c r="E229" s="4">
        <f t="shared" si="31"/>
        <v>5.2</v>
      </c>
      <c r="I229" s="6">
        <v>5</v>
      </c>
      <c r="J229" s="4">
        <f t="shared" si="32"/>
        <v>3.8461538461538463</v>
      </c>
      <c r="L229" s="9">
        <v>200</v>
      </c>
      <c r="M229" s="4">
        <f t="shared" si="33"/>
        <v>180</v>
      </c>
    </row>
    <row r="230" spans="4:10" ht="19.5" thickBot="1">
      <c r="D230" s="21">
        <v>2</v>
      </c>
      <c r="E230" s="4">
        <f t="shared" si="31"/>
        <v>2.6</v>
      </c>
      <c r="I230" s="6">
        <v>3</v>
      </c>
      <c r="J230" s="4">
        <f t="shared" si="32"/>
        <v>2.3076923076923075</v>
      </c>
    </row>
    <row r="231" spans="4:13" ht="19.5" thickBot="1">
      <c r="D231" s="21">
        <v>2</v>
      </c>
      <c r="E231" s="4">
        <f t="shared" si="31"/>
        <v>2.6</v>
      </c>
      <c r="I231" s="6">
        <v>3</v>
      </c>
      <c r="J231" s="4">
        <f t="shared" si="32"/>
        <v>2.3076923076923075</v>
      </c>
      <c r="L231" s="13">
        <v>18</v>
      </c>
      <c r="M231" s="4">
        <f>L231*200/180</f>
        <v>20</v>
      </c>
    </row>
    <row r="232" spans="4:13" ht="19.5" thickBot="1">
      <c r="D232" s="21">
        <v>15</v>
      </c>
      <c r="E232" s="4">
        <f t="shared" si="31"/>
        <v>19.5</v>
      </c>
      <c r="I232" s="22">
        <v>20</v>
      </c>
      <c r="J232" s="4">
        <f t="shared" si="32"/>
        <v>15.384615384615385</v>
      </c>
      <c r="L232" s="9">
        <v>135</v>
      </c>
      <c r="M232" s="4">
        <f aca="true" t="shared" si="34" ref="M232:M237">L232*200/180</f>
        <v>150</v>
      </c>
    </row>
    <row r="233" spans="4:13" ht="19.5" thickBot="1">
      <c r="D233" s="21">
        <v>1</v>
      </c>
      <c r="E233" s="4">
        <f t="shared" si="31"/>
        <v>1.3</v>
      </c>
      <c r="I233" s="6">
        <v>1.3</v>
      </c>
      <c r="J233" s="4">
        <f t="shared" si="32"/>
        <v>1</v>
      </c>
      <c r="L233" s="9">
        <v>32</v>
      </c>
      <c r="M233" s="4">
        <f t="shared" si="34"/>
        <v>35.55555555555556</v>
      </c>
    </row>
    <row r="234" spans="4:13" ht="19.5" thickBot="1">
      <c r="D234" s="21">
        <v>3</v>
      </c>
      <c r="E234" s="4">
        <f t="shared" si="31"/>
        <v>3.9</v>
      </c>
      <c r="I234" s="6">
        <v>4</v>
      </c>
      <c r="J234" s="4">
        <f t="shared" si="32"/>
        <v>3.076923076923077</v>
      </c>
      <c r="L234" s="9">
        <v>5</v>
      </c>
      <c r="M234" s="4">
        <f t="shared" si="34"/>
        <v>5.555555555555555</v>
      </c>
    </row>
    <row r="235" spans="4:13" ht="19.5" thickBot="1">
      <c r="D235" s="21">
        <v>112</v>
      </c>
      <c r="E235" s="4">
        <f t="shared" si="31"/>
        <v>145.6</v>
      </c>
      <c r="I235" s="6">
        <v>146</v>
      </c>
      <c r="J235" s="4">
        <f t="shared" si="32"/>
        <v>112.3076923076923</v>
      </c>
      <c r="L235" s="9">
        <v>177</v>
      </c>
      <c r="M235" s="4">
        <f t="shared" si="34"/>
        <v>196.66666666666666</v>
      </c>
    </row>
    <row r="236" spans="4:13" ht="19.5" thickBot="1">
      <c r="D236" s="21">
        <v>100</v>
      </c>
      <c r="E236" s="4">
        <f>D236*130/100</f>
        <v>130</v>
      </c>
      <c r="I236" s="6">
        <v>130</v>
      </c>
      <c r="J236" s="4">
        <f t="shared" si="32"/>
        <v>100</v>
      </c>
      <c r="L236" s="9">
        <v>3</v>
      </c>
      <c r="M236" s="4">
        <f t="shared" si="34"/>
        <v>3.3333333333333335</v>
      </c>
    </row>
    <row r="237" spans="12:13" ht="19.5" thickBot="1">
      <c r="L237" s="9">
        <v>180</v>
      </c>
      <c r="M237" s="4">
        <f t="shared" si="34"/>
        <v>200</v>
      </c>
    </row>
    <row r="238" ht="19.5" thickBot="1"/>
    <row r="239" spans="5:6" ht="19.5" thickBot="1">
      <c r="E239" s="5">
        <v>28</v>
      </c>
      <c r="F239" s="4">
        <f>E239*70/60</f>
        <v>32.666666666666664</v>
      </c>
    </row>
    <row r="240" spans="5:6" ht="19.5" thickBot="1">
      <c r="E240" s="6">
        <v>2</v>
      </c>
      <c r="F240" s="4">
        <f aca="true" t="shared" si="35" ref="F240:F249">E240*70/60</f>
        <v>2.3333333333333335</v>
      </c>
    </row>
    <row r="241" spans="5:9" ht="19.5" thickBot="1">
      <c r="E241" s="6">
        <v>3</v>
      </c>
      <c r="F241" s="4">
        <f t="shared" si="35"/>
        <v>3.5</v>
      </c>
      <c r="H241" s="5">
        <v>131</v>
      </c>
      <c r="I241" s="4">
        <f>H241*150/100</f>
        <v>196.5</v>
      </c>
    </row>
    <row r="242" spans="5:9" ht="19.5" thickBot="1">
      <c r="E242" s="6">
        <v>3</v>
      </c>
      <c r="F242" s="4">
        <f t="shared" si="35"/>
        <v>3.5</v>
      </c>
      <c r="H242" s="6">
        <v>4.5</v>
      </c>
      <c r="I242" s="4">
        <f aca="true" t="shared" si="36" ref="I242:I249">H242*150/100</f>
        <v>6.75</v>
      </c>
    </row>
    <row r="243" spans="5:9" ht="19.5" thickBot="1">
      <c r="E243" s="6">
        <v>1</v>
      </c>
      <c r="F243" s="4">
        <f t="shared" si="35"/>
        <v>1.1666666666666667</v>
      </c>
      <c r="H243" s="6">
        <v>8</v>
      </c>
      <c r="I243" s="4">
        <f t="shared" si="36"/>
        <v>12</v>
      </c>
    </row>
    <row r="244" spans="5:13" ht="19.5" thickBot="1">
      <c r="E244" s="6">
        <v>7</v>
      </c>
      <c r="F244" s="4">
        <f t="shared" si="35"/>
        <v>8.166666666666666</v>
      </c>
      <c r="H244" s="6"/>
      <c r="I244" s="4">
        <f t="shared" si="36"/>
        <v>0</v>
      </c>
      <c r="L244" s="5">
        <v>162</v>
      </c>
      <c r="M244" s="4">
        <f>L244*250/230</f>
        <v>176.08695652173913</v>
      </c>
    </row>
    <row r="245" spans="5:17" ht="19.5" thickBot="1">
      <c r="E245" s="6">
        <v>1</v>
      </c>
      <c r="F245" s="4">
        <f t="shared" si="35"/>
        <v>1.1666666666666667</v>
      </c>
      <c r="H245" s="6"/>
      <c r="I245" s="4">
        <f t="shared" si="36"/>
        <v>0</v>
      </c>
      <c r="L245" s="6">
        <v>173</v>
      </c>
      <c r="M245" s="4">
        <f aca="true" t="shared" si="37" ref="M245:M254">L245*250/230</f>
        <v>188.04347826086956</v>
      </c>
      <c r="P245" s="5">
        <v>166</v>
      </c>
      <c r="Q245" s="4">
        <f>P245*49/74</f>
        <v>109.91891891891892</v>
      </c>
    </row>
    <row r="246" spans="5:17" ht="19.5" thickBot="1">
      <c r="E246" s="6">
        <v>25</v>
      </c>
      <c r="F246" s="4">
        <f t="shared" si="35"/>
        <v>29.166666666666668</v>
      </c>
      <c r="H246" s="6"/>
      <c r="I246" s="4">
        <f t="shared" si="36"/>
        <v>0</v>
      </c>
      <c r="L246" s="6">
        <v>133</v>
      </c>
      <c r="M246" s="4">
        <f t="shared" si="37"/>
        <v>144.56521739130434</v>
      </c>
      <c r="P246" s="6">
        <v>114</v>
      </c>
      <c r="Q246" s="4">
        <f aca="true" t="shared" si="38" ref="Q246:Q252">P246*49/74</f>
        <v>75.48648648648648</v>
      </c>
    </row>
    <row r="247" spans="5:17" ht="19.5" thickBot="1">
      <c r="E247" s="6">
        <v>1</v>
      </c>
      <c r="F247" s="4">
        <f t="shared" si="35"/>
        <v>1.1666666666666667</v>
      </c>
      <c r="H247" s="6">
        <v>7</v>
      </c>
      <c r="I247" s="4">
        <f t="shared" si="36"/>
        <v>10.5</v>
      </c>
      <c r="L247" s="6">
        <v>12</v>
      </c>
      <c r="M247" s="4">
        <f t="shared" si="37"/>
        <v>13.043478260869565</v>
      </c>
      <c r="P247" s="6">
        <v>155</v>
      </c>
      <c r="Q247" s="4">
        <f t="shared" si="38"/>
        <v>102.63513513513513</v>
      </c>
    </row>
    <row r="248" spans="5:17" ht="19.5" thickBot="1">
      <c r="E248" s="6">
        <v>1.3</v>
      </c>
      <c r="F248" s="4">
        <f t="shared" si="35"/>
        <v>1.5166666666666666</v>
      </c>
      <c r="H248" s="6">
        <v>1.2</v>
      </c>
      <c r="I248" s="4">
        <f t="shared" si="36"/>
        <v>1.8</v>
      </c>
      <c r="L248" s="6">
        <v>46</v>
      </c>
      <c r="M248" s="4">
        <f t="shared" si="37"/>
        <v>50</v>
      </c>
      <c r="P248" s="6">
        <v>134</v>
      </c>
      <c r="Q248" s="4">
        <f t="shared" si="38"/>
        <v>88.72972972972973</v>
      </c>
    </row>
    <row r="249" spans="5:17" ht="19.5" thickBot="1">
      <c r="E249" s="6">
        <v>60</v>
      </c>
      <c r="F249" s="4">
        <f t="shared" si="35"/>
        <v>70</v>
      </c>
      <c r="H249" s="6">
        <v>3</v>
      </c>
      <c r="I249" s="4">
        <f t="shared" si="36"/>
        <v>4.5</v>
      </c>
      <c r="L249" s="6">
        <v>6</v>
      </c>
      <c r="M249" s="4">
        <f t="shared" si="37"/>
        <v>6.521739130434782</v>
      </c>
      <c r="P249" s="6">
        <v>176</v>
      </c>
      <c r="Q249" s="4">
        <f t="shared" si="38"/>
        <v>116.54054054054055</v>
      </c>
    </row>
    <row r="250" spans="12:17" ht="19.5" thickBot="1">
      <c r="L250" s="6">
        <v>6</v>
      </c>
      <c r="M250" s="4">
        <f t="shared" si="37"/>
        <v>6.521739130434782</v>
      </c>
      <c r="P250" s="6">
        <v>130</v>
      </c>
      <c r="Q250" s="4">
        <f t="shared" si="38"/>
        <v>86.08108108108108</v>
      </c>
    </row>
    <row r="251" spans="12:17" ht="19.5" thickBot="1">
      <c r="L251" s="6">
        <v>247</v>
      </c>
      <c r="M251" s="4">
        <f t="shared" si="37"/>
        <v>268.4782608695652</v>
      </c>
      <c r="P251" s="6">
        <v>155</v>
      </c>
      <c r="Q251" s="4">
        <f t="shared" si="38"/>
        <v>102.63513513513513</v>
      </c>
    </row>
    <row r="252" spans="12:17" ht="19.5" thickBot="1">
      <c r="L252" s="6">
        <v>12</v>
      </c>
      <c r="M252" s="4">
        <f t="shared" si="37"/>
        <v>13.043478260869565</v>
      </c>
      <c r="P252" s="6">
        <v>169</v>
      </c>
      <c r="Q252" s="4">
        <f t="shared" si="38"/>
        <v>111.9054054054054</v>
      </c>
    </row>
    <row r="253" spans="12:13" ht="19.5" thickBot="1">
      <c r="L253" s="6">
        <v>259</v>
      </c>
      <c r="M253" s="4">
        <f t="shared" si="37"/>
        <v>281.5217391304348</v>
      </c>
    </row>
    <row r="254" spans="12:13" ht="19.5" thickBot="1">
      <c r="L254" s="6">
        <v>230</v>
      </c>
      <c r="M254" s="4">
        <f t="shared" si="37"/>
        <v>250</v>
      </c>
    </row>
    <row r="255" ht="19.5" thickBot="1"/>
    <row r="256" spans="9:10" ht="19.5" thickBot="1">
      <c r="I256" s="23">
        <v>119</v>
      </c>
      <c r="J256" s="4">
        <f>I256*97/53</f>
        <v>217.79245283018867</v>
      </c>
    </row>
    <row r="257" spans="9:10" ht="19.5" thickBot="1">
      <c r="I257" s="24">
        <v>82</v>
      </c>
      <c r="J257" s="4">
        <f aca="true" t="shared" si="39" ref="J257:J262">I257*97/53</f>
        <v>150.0754716981132</v>
      </c>
    </row>
    <row r="258" spans="9:15" ht="19.5" thickBot="1">
      <c r="I258" s="24">
        <v>111</v>
      </c>
      <c r="J258" s="4">
        <f t="shared" si="39"/>
        <v>203.1509433962264</v>
      </c>
      <c r="N258" s="5">
        <v>218</v>
      </c>
      <c r="O258" s="4">
        <f>N258*74/97</f>
        <v>166.30927835051546</v>
      </c>
    </row>
    <row r="259" spans="9:15" ht="19.5" thickBot="1">
      <c r="I259" s="24">
        <v>96</v>
      </c>
      <c r="J259" s="4">
        <f t="shared" si="39"/>
        <v>175.69811320754718</v>
      </c>
      <c r="N259" s="6">
        <v>150</v>
      </c>
      <c r="O259" s="4">
        <f aca="true" t="shared" si="40" ref="O259:O265">N259*74/97</f>
        <v>114.43298969072166</v>
      </c>
    </row>
    <row r="260" spans="9:15" ht="19.5" thickBot="1">
      <c r="I260" s="24">
        <v>126</v>
      </c>
      <c r="J260" s="4">
        <f t="shared" si="39"/>
        <v>230.60377358490567</v>
      </c>
      <c r="N260" s="6">
        <v>203</v>
      </c>
      <c r="O260" s="4">
        <f t="shared" si="40"/>
        <v>154.8659793814433</v>
      </c>
    </row>
    <row r="261" spans="9:15" ht="19.5" thickBot="1">
      <c r="I261" s="24">
        <v>93</v>
      </c>
      <c r="J261" s="4">
        <f t="shared" si="39"/>
        <v>170.20754716981133</v>
      </c>
      <c r="N261" s="6">
        <v>176</v>
      </c>
      <c r="O261" s="4">
        <f t="shared" si="40"/>
        <v>134.2680412371134</v>
      </c>
    </row>
    <row r="262" spans="9:15" ht="19.5" thickBot="1">
      <c r="I262" s="24">
        <v>111</v>
      </c>
      <c r="J262" s="4">
        <f t="shared" si="39"/>
        <v>203.1509433962264</v>
      </c>
      <c r="N262" s="6">
        <v>231</v>
      </c>
      <c r="O262" s="4">
        <f t="shared" si="40"/>
        <v>176.22680412371133</v>
      </c>
    </row>
    <row r="263" spans="14:15" ht="19.5" thickBot="1">
      <c r="N263" s="6">
        <v>170</v>
      </c>
      <c r="O263" s="4">
        <f t="shared" si="40"/>
        <v>129.69072164948454</v>
      </c>
    </row>
    <row r="264" spans="14:15" ht="19.5" thickBot="1">
      <c r="N264" s="6">
        <v>203</v>
      </c>
      <c r="O264" s="4">
        <f t="shared" si="40"/>
        <v>154.8659793814433</v>
      </c>
    </row>
    <row r="265" spans="14:15" ht="19.5" thickBot="1">
      <c r="N265" s="21">
        <v>221</v>
      </c>
      <c r="O265" s="4">
        <f t="shared" si="40"/>
        <v>168.5979381443299</v>
      </c>
    </row>
    <row r="273" ht="19.5" thickBot="1"/>
    <row r="274" spans="5:6" ht="19.5" thickBot="1">
      <c r="E274" s="14">
        <v>219</v>
      </c>
      <c r="F274" s="4">
        <f aca="true" t="shared" si="41" ref="F274:F279">E274*93/97</f>
        <v>209.96907216494844</v>
      </c>
    </row>
    <row r="275" spans="5:6" ht="19.5" thickBot="1">
      <c r="E275" s="15">
        <v>150</v>
      </c>
      <c r="F275" s="4">
        <f t="shared" si="41"/>
        <v>143.81443298969072</v>
      </c>
    </row>
    <row r="276" spans="5:10" ht="19.5" thickBot="1">
      <c r="E276" s="15">
        <v>203</v>
      </c>
      <c r="F276" s="4">
        <f t="shared" si="41"/>
        <v>194.62886597938143</v>
      </c>
      <c r="I276" s="13">
        <v>100</v>
      </c>
      <c r="J276" s="4">
        <f>I276*215/250</f>
        <v>86</v>
      </c>
    </row>
    <row r="277" spans="5:10" ht="19.5" thickBot="1">
      <c r="E277" s="15">
        <v>176</v>
      </c>
      <c r="F277" s="4">
        <f t="shared" si="41"/>
        <v>168.7422680412371</v>
      </c>
      <c r="I277" s="9">
        <v>100</v>
      </c>
      <c r="J277" s="4">
        <f aca="true" t="shared" si="42" ref="J277:J286">I277*215/250</f>
        <v>86</v>
      </c>
    </row>
    <row r="278" spans="5:10" ht="19.5" thickBot="1">
      <c r="E278" s="15">
        <v>231</v>
      </c>
      <c r="F278" s="4">
        <f t="shared" si="41"/>
        <v>221.4742268041237</v>
      </c>
      <c r="I278" s="9">
        <v>100</v>
      </c>
      <c r="J278" s="4">
        <f t="shared" si="42"/>
        <v>86</v>
      </c>
    </row>
    <row r="279" spans="5:10" ht="19.5" thickBot="1">
      <c r="E279" s="15">
        <v>170</v>
      </c>
      <c r="F279" s="4">
        <f t="shared" si="41"/>
        <v>162.98969072164948</v>
      </c>
      <c r="I279" s="9">
        <v>100</v>
      </c>
      <c r="J279" s="4">
        <f t="shared" si="42"/>
        <v>86</v>
      </c>
    </row>
    <row r="280" spans="9:10" ht="19.5" thickBot="1">
      <c r="I280" s="9"/>
      <c r="J280" s="4">
        <f t="shared" si="42"/>
        <v>0</v>
      </c>
    </row>
    <row r="281" spans="9:10" ht="19.5" thickBot="1">
      <c r="I281" s="9">
        <v>10</v>
      </c>
      <c r="J281" s="4">
        <f t="shared" si="42"/>
        <v>8.6</v>
      </c>
    </row>
    <row r="282" spans="9:10" ht="19.5" thickBot="1">
      <c r="I282" s="9">
        <v>10</v>
      </c>
      <c r="J282" s="4">
        <f t="shared" si="42"/>
        <v>8.6</v>
      </c>
    </row>
    <row r="283" spans="9:10" ht="19.5" thickBot="1">
      <c r="I283" s="9">
        <v>5</v>
      </c>
      <c r="J283" s="4">
        <f t="shared" si="42"/>
        <v>4.3</v>
      </c>
    </row>
    <row r="284" spans="9:10" ht="19.5" thickBot="1">
      <c r="I284" s="9">
        <v>2.5</v>
      </c>
      <c r="J284" s="4">
        <f t="shared" si="42"/>
        <v>2.15</v>
      </c>
    </row>
    <row r="285" spans="9:10" ht="19.5" thickBot="1">
      <c r="I285" s="9">
        <v>175</v>
      </c>
      <c r="J285" s="4">
        <f t="shared" si="42"/>
        <v>150.5</v>
      </c>
    </row>
    <row r="286" spans="9:10" ht="19.5" thickBot="1">
      <c r="I286" s="9">
        <v>250</v>
      </c>
      <c r="J286" s="4">
        <f t="shared" si="42"/>
        <v>215</v>
      </c>
    </row>
    <row r="290" ht="19.5" thickBot="1"/>
    <row r="291" spans="12:13" ht="19.5" thickBot="1">
      <c r="L291" s="5">
        <v>146</v>
      </c>
      <c r="M291" s="4">
        <f aca="true" t="shared" si="43" ref="M291:M296">L291*49/67</f>
        <v>106.77611940298507</v>
      </c>
    </row>
    <row r="292" spans="10:13" ht="19.5" thickBot="1">
      <c r="J292" s="25">
        <v>115</v>
      </c>
      <c r="K292" s="4">
        <f aca="true" t="shared" si="44" ref="K292:K297">J292*93/53</f>
        <v>201.79245283018867</v>
      </c>
      <c r="L292" s="6">
        <v>96</v>
      </c>
      <c r="M292" s="4">
        <f t="shared" si="43"/>
        <v>70.2089552238806</v>
      </c>
    </row>
    <row r="293" spans="6:13" ht="19.5" thickBot="1">
      <c r="F293" s="13">
        <v>38</v>
      </c>
      <c r="G293" s="4">
        <f>F293*29/32</f>
        <v>34.4375</v>
      </c>
      <c r="J293" s="26">
        <v>76</v>
      </c>
      <c r="K293" s="4">
        <f t="shared" si="44"/>
        <v>133.35849056603774</v>
      </c>
      <c r="L293" s="6">
        <v>140</v>
      </c>
      <c r="M293" s="4">
        <f t="shared" si="43"/>
        <v>102.38805970149254</v>
      </c>
    </row>
    <row r="294" spans="6:13" ht="19.5" thickBot="1">
      <c r="F294" s="9">
        <v>1</v>
      </c>
      <c r="G294" s="4">
        <f aca="true" t="shared" si="45" ref="G294:G300">F294*29/32</f>
        <v>0.90625</v>
      </c>
      <c r="J294" s="26">
        <v>111</v>
      </c>
      <c r="K294" s="4">
        <f t="shared" si="44"/>
        <v>194.77358490566039</v>
      </c>
      <c r="L294" s="6">
        <v>121</v>
      </c>
      <c r="M294" s="4">
        <f t="shared" si="43"/>
        <v>88.49253731343283</v>
      </c>
    </row>
    <row r="295" spans="6:13" ht="19.5" thickBot="1">
      <c r="F295" s="9">
        <v>28</v>
      </c>
      <c r="G295" s="4">
        <f t="shared" si="45"/>
        <v>25.375</v>
      </c>
      <c r="J295" s="26">
        <v>96</v>
      </c>
      <c r="K295" s="4">
        <f t="shared" si="44"/>
        <v>168.45283018867926</v>
      </c>
      <c r="L295" s="6">
        <v>159</v>
      </c>
      <c r="M295" s="4">
        <f t="shared" si="43"/>
        <v>116.28358208955224</v>
      </c>
    </row>
    <row r="296" spans="6:13" ht="19.5" thickBot="1">
      <c r="F296" s="9">
        <v>5</v>
      </c>
      <c r="G296" s="4">
        <f t="shared" si="45"/>
        <v>4.53125</v>
      </c>
      <c r="J296" s="26">
        <v>126</v>
      </c>
      <c r="K296" s="4">
        <f t="shared" si="44"/>
        <v>221.0943396226415</v>
      </c>
      <c r="L296" s="15">
        <v>163</v>
      </c>
      <c r="M296" s="4">
        <f t="shared" si="43"/>
        <v>119.2089552238806</v>
      </c>
    </row>
    <row r="297" spans="6:11" ht="19.5" thickBot="1">
      <c r="F297" s="9">
        <v>1</v>
      </c>
      <c r="G297" s="4">
        <f t="shared" si="45"/>
        <v>0.90625</v>
      </c>
      <c r="J297" s="26">
        <v>93</v>
      </c>
      <c r="K297" s="4">
        <f t="shared" si="44"/>
        <v>163.18867924528303</v>
      </c>
    </row>
    <row r="298" spans="6:7" ht="19.5" thickBot="1">
      <c r="F298" s="9">
        <v>3</v>
      </c>
      <c r="G298" s="4">
        <f t="shared" si="45"/>
        <v>2.71875</v>
      </c>
    </row>
    <row r="299" spans="6:7" ht="19.5" thickBot="1">
      <c r="F299" s="9">
        <v>1</v>
      </c>
      <c r="G299" s="4">
        <f t="shared" si="45"/>
        <v>0.90625</v>
      </c>
    </row>
    <row r="300" spans="6:7" ht="19.5" thickBot="1">
      <c r="F300" s="9">
        <v>32</v>
      </c>
      <c r="G300" s="4">
        <f t="shared" si="45"/>
        <v>29</v>
      </c>
    </row>
    <row r="303" ht="19.5" thickBot="1"/>
    <row r="304" spans="5:11" ht="19.5" thickBot="1">
      <c r="E304" s="5">
        <v>197</v>
      </c>
      <c r="F304" s="4">
        <f>E304*180/150</f>
        <v>236.4</v>
      </c>
      <c r="J304" s="13">
        <v>41</v>
      </c>
      <c r="K304" s="4">
        <f aca="true" t="shared" si="46" ref="K304:K309">J304*36/32</f>
        <v>46.125</v>
      </c>
    </row>
    <row r="305" spans="5:11" ht="19.5" thickBot="1">
      <c r="E305" s="6">
        <v>7</v>
      </c>
      <c r="F305" s="4">
        <f aca="true" t="shared" si="47" ref="F305:F313">E305*180/150</f>
        <v>8.4</v>
      </c>
      <c r="J305" s="9">
        <v>44</v>
      </c>
      <c r="K305" s="4">
        <f t="shared" si="46"/>
        <v>49.5</v>
      </c>
    </row>
    <row r="306" spans="5:11" ht="19.5" thickBot="1">
      <c r="E306" s="6">
        <v>12</v>
      </c>
      <c r="F306" s="4">
        <f t="shared" si="47"/>
        <v>14.4</v>
      </c>
      <c r="J306" s="9">
        <v>32</v>
      </c>
      <c r="K306" s="4">
        <f t="shared" si="46"/>
        <v>36</v>
      </c>
    </row>
    <row r="307" spans="5:11" ht="19.5" thickBot="1">
      <c r="E307" s="6"/>
      <c r="F307" s="4">
        <f t="shared" si="47"/>
        <v>0</v>
      </c>
      <c r="J307" s="9">
        <v>1</v>
      </c>
      <c r="K307" s="4">
        <f t="shared" si="46"/>
        <v>1.125</v>
      </c>
    </row>
    <row r="308" spans="5:11" ht="19.5" thickBot="1">
      <c r="E308" s="6">
        <v>7.5</v>
      </c>
      <c r="F308" s="4">
        <f t="shared" si="47"/>
        <v>9</v>
      </c>
      <c r="J308" s="9">
        <v>1</v>
      </c>
      <c r="K308" s="4">
        <f t="shared" si="46"/>
        <v>1.125</v>
      </c>
    </row>
    <row r="309" spans="5:11" ht="19.5" thickBot="1">
      <c r="E309" s="6">
        <v>8</v>
      </c>
      <c r="F309" s="4">
        <f t="shared" si="47"/>
        <v>9.6</v>
      </c>
      <c r="J309" s="9">
        <v>32</v>
      </c>
      <c r="K309" s="4">
        <f t="shared" si="46"/>
        <v>36</v>
      </c>
    </row>
    <row r="310" spans="5:11" ht="19.5" thickBot="1">
      <c r="E310" s="6">
        <v>11</v>
      </c>
      <c r="F310" s="4">
        <f t="shared" si="47"/>
        <v>13.2</v>
      </c>
      <c r="J310" s="27">
        <v>1</v>
      </c>
      <c r="K310" s="4">
        <f>J310*36/29</f>
        <v>1.2413793103448276</v>
      </c>
    </row>
    <row r="311" spans="5:11" ht="19.5" thickBot="1">
      <c r="E311" s="6">
        <v>1.8</v>
      </c>
      <c r="F311" s="4">
        <f t="shared" si="47"/>
        <v>2.16</v>
      </c>
      <c r="J311" s="9">
        <v>29</v>
      </c>
      <c r="K311" s="4">
        <f>J311*36/29</f>
        <v>36</v>
      </c>
    </row>
    <row r="312" spans="5:6" ht="19.5" thickBot="1">
      <c r="E312" s="6">
        <v>4.5</v>
      </c>
      <c r="F312" s="4">
        <f t="shared" si="47"/>
        <v>5.4</v>
      </c>
    </row>
    <row r="313" spans="5:6" ht="19.5" thickBot="1">
      <c r="E313" s="6">
        <v>150</v>
      </c>
      <c r="F313" s="4">
        <f t="shared" si="47"/>
        <v>180</v>
      </c>
    </row>
    <row r="315" ht="19.5" thickBot="1"/>
    <row r="316" spans="9:10" ht="19.5" thickBot="1">
      <c r="I316" s="28">
        <v>51</v>
      </c>
      <c r="J316" s="4">
        <f>I316*70/80</f>
        <v>44.625</v>
      </c>
    </row>
    <row r="317" spans="9:10" ht="19.5" thickBot="1">
      <c r="I317" s="29">
        <v>8</v>
      </c>
      <c r="J317" s="4">
        <f aca="true" t="shared" si="48" ref="J317:J327">I317*70/80</f>
        <v>7</v>
      </c>
    </row>
    <row r="318" spans="9:10" ht="19.5" thickBot="1">
      <c r="I318" s="29">
        <v>7</v>
      </c>
      <c r="J318" s="4">
        <f t="shared" si="48"/>
        <v>6.125</v>
      </c>
    </row>
    <row r="319" spans="9:10" ht="19.5" thickBot="1">
      <c r="I319" s="29">
        <v>20</v>
      </c>
      <c r="J319" s="4">
        <f t="shared" si="48"/>
        <v>17.5</v>
      </c>
    </row>
    <row r="320" spans="9:10" ht="19.5" thickBot="1">
      <c r="I320" s="29">
        <v>21</v>
      </c>
      <c r="J320" s="4">
        <f t="shared" si="48"/>
        <v>18.375</v>
      </c>
    </row>
    <row r="321" spans="9:10" ht="19.5" thickBot="1">
      <c r="I321" s="29">
        <v>3</v>
      </c>
      <c r="J321" s="4">
        <f t="shared" si="48"/>
        <v>2.625</v>
      </c>
    </row>
    <row r="322" spans="9:10" ht="19.5" thickBot="1">
      <c r="I322" s="29">
        <v>2</v>
      </c>
      <c r="J322" s="4">
        <f t="shared" si="48"/>
        <v>1.75</v>
      </c>
    </row>
    <row r="323" spans="9:10" ht="19.5" thickBot="1">
      <c r="I323" s="29">
        <v>9</v>
      </c>
      <c r="J323" s="4">
        <f t="shared" si="48"/>
        <v>7.875</v>
      </c>
    </row>
    <row r="324" spans="9:10" ht="19.5" thickBot="1">
      <c r="I324" s="29">
        <v>5</v>
      </c>
      <c r="J324" s="4">
        <f t="shared" si="48"/>
        <v>4.375</v>
      </c>
    </row>
    <row r="325" spans="9:12" ht="19.5" thickBot="1">
      <c r="I325" s="29">
        <v>95</v>
      </c>
      <c r="J325" s="4">
        <f t="shared" si="48"/>
        <v>83.125</v>
      </c>
      <c r="K325" s="25">
        <v>24</v>
      </c>
      <c r="L325" s="4">
        <f>K325*31/32</f>
        <v>23.25</v>
      </c>
    </row>
    <row r="326" spans="9:12" ht="19.5" thickBot="1">
      <c r="I326" s="29">
        <v>4</v>
      </c>
      <c r="J326" s="4">
        <f t="shared" si="48"/>
        <v>3.5</v>
      </c>
      <c r="K326" s="26">
        <v>8</v>
      </c>
      <c r="L326" s="4">
        <f>K326*31/32</f>
        <v>7.75</v>
      </c>
    </row>
    <row r="327" spans="9:12" ht="19.5" thickBot="1">
      <c r="I327" s="29">
        <v>80</v>
      </c>
      <c r="J327" s="4">
        <f t="shared" si="48"/>
        <v>70</v>
      </c>
      <c r="K327" s="26">
        <v>32</v>
      </c>
      <c r="L327" s="4">
        <f>K327*31/32</f>
        <v>31</v>
      </c>
    </row>
    <row r="332" ht="19.5" thickBot="1"/>
    <row r="333" spans="4:12" ht="19.5" thickBot="1">
      <c r="D333" s="5">
        <v>180</v>
      </c>
      <c r="E333" s="4">
        <f>D333*150/200</f>
        <v>135</v>
      </c>
      <c r="H333" s="28">
        <v>2.4</v>
      </c>
      <c r="I333" s="4">
        <f>H333*150/180</f>
        <v>2</v>
      </c>
      <c r="K333" s="28">
        <v>46</v>
      </c>
      <c r="L333" s="4">
        <f>K333*45/60</f>
        <v>34.5</v>
      </c>
    </row>
    <row r="334" spans="4:12" ht="19.5" thickBot="1">
      <c r="D334" s="6">
        <v>30</v>
      </c>
      <c r="E334" s="4">
        <f aca="true" t="shared" si="49" ref="E334:E339">D334*150/200</f>
        <v>22.5</v>
      </c>
      <c r="H334" s="29">
        <v>50</v>
      </c>
      <c r="I334" s="4">
        <f>H334*150/180</f>
        <v>41.666666666666664</v>
      </c>
      <c r="K334" s="29">
        <v>49</v>
      </c>
      <c r="L334" s="4">
        <f aca="true" t="shared" si="50" ref="L334:L339">K334*45/60</f>
        <v>36.75</v>
      </c>
    </row>
    <row r="335" spans="4:12" ht="19.5" thickBot="1">
      <c r="D335" s="6">
        <v>12</v>
      </c>
      <c r="E335" s="4">
        <f t="shared" si="49"/>
        <v>9</v>
      </c>
      <c r="H335" s="29">
        <v>148</v>
      </c>
      <c r="I335" s="4">
        <f>H335*150/180</f>
        <v>123.33333333333333</v>
      </c>
      <c r="K335" s="29">
        <v>36</v>
      </c>
      <c r="L335" s="4">
        <f t="shared" si="50"/>
        <v>27</v>
      </c>
    </row>
    <row r="336" spans="4:12" ht="19.5" thickBot="1">
      <c r="D336" s="6">
        <v>16</v>
      </c>
      <c r="E336" s="4">
        <f t="shared" si="49"/>
        <v>12</v>
      </c>
      <c r="H336" s="29">
        <v>12</v>
      </c>
      <c r="I336" s="4">
        <f>H336*150/180</f>
        <v>10</v>
      </c>
      <c r="K336" s="9">
        <v>34</v>
      </c>
      <c r="L336" s="4">
        <f t="shared" si="50"/>
        <v>25.5</v>
      </c>
    </row>
    <row r="337" spans="4:12" ht="19.5" thickBot="1">
      <c r="D337" s="6">
        <v>2</v>
      </c>
      <c r="E337" s="4">
        <f t="shared" si="49"/>
        <v>1.5</v>
      </c>
      <c r="H337" s="29">
        <v>180</v>
      </c>
      <c r="I337" s="4">
        <f>H337*150/180</f>
        <v>150</v>
      </c>
      <c r="K337" s="9">
        <v>20</v>
      </c>
      <c r="L337" s="4">
        <f t="shared" si="50"/>
        <v>15</v>
      </c>
    </row>
    <row r="338" spans="4:12" ht="19.5" thickBot="1">
      <c r="D338" s="6">
        <v>1</v>
      </c>
      <c r="E338" s="4">
        <f t="shared" si="49"/>
        <v>0.75</v>
      </c>
      <c r="K338" s="9">
        <v>5</v>
      </c>
      <c r="L338" s="4">
        <f t="shared" si="50"/>
        <v>3.75</v>
      </c>
    </row>
    <row r="339" spans="4:12" ht="19.5" thickBot="1">
      <c r="D339" s="6">
        <v>200</v>
      </c>
      <c r="E339" s="4">
        <f t="shared" si="49"/>
        <v>150</v>
      </c>
      <c r="K339" s="9">
        <v>60</v>
      </c>
      <c r="L339" s="4">
        <f t="shared" si="50"/>
        <v>45</v>
      </c>
    </row>
    <row r="340" ht="19.5" thickBot="1"/>
    <row r="341" spans="4:9" ht="19.5" thickBot="1">
      <c r="D341" s="14">
        <v>50</v>
      </c>
      <c r="E341" s="4">
        <f>D341*200/250</f>
        <v>40</v>
      </c>
      <c r="H341" s="30">
        <v>3.8</v>
      </c>
      <c r="I341" s="4">
        <f>H341*200/250</f>
        <v>3.04</v>
      </c>
    </row>
    <row r="342" spans="4:9" ht="19.5" thickBot="1">
      <c r="D342" s="15">
        <v>25</v>
      </c>
      <c r="E342" s="4">
        <f aca="true" t="shared" si="51" ref="E342:E356">D342*200/250</f>
        <v>20</v>
      </c>
      <c r="H342" s="27">
        <v>4</v>
      </c>
      <c r="I342" s="4">
        <f>H342*200/250</f>
        <v>3.2</v>
      </c>
    </row>
    <row r="343" spans="4:9" ht="19.5" thickBot="1">
      <c r="D343" s="15"/>
      <c r="E343" s="4">
        <f t="shared" si="51"/>
        <v>0</v>
      </c>
      <c r="H343" s="27">
        <v>2.4</v>
      </c>
      <c r="I343" s="4">
        <f>H343*200/250</f>
        <v>1.92</v>
      </c>
    </row>
    <row r="344" spans="4:9" ht="19.5" thickBot="1">
      <c r="D344" s="15">
        <v>27</v>
      </c>
      <c r="E344" s="4">
        <f t="shared" si="51"/>
        <v>21.6</v>
      </c>
      <c r="H344" s="27">
        <v>313</v>
      </c>
      <c r="I344" s="4">
        <f>H344*200/250</f>
        <v>250.4</v>
      </c>
    </row>
    <row r="345" spans="4:9" ht="19.5" thickBot="1">
      <c r="D345" s="15">
        <v>29</v>
      </c>
      <c r="E345" s="4">
        <f t="shared" si="51"/>
        <v>23.2</v>
      </c>
      <c r="H345" s="29">
        <v>250</v>
      </c>
      <c r="I345" s="4">
        <f>H345*200/250</f>
        <v>200</v>
      </c>
    </row>
    <row r="346" spans="4:5" ht="19.5" thickBot="1">
      <c r="D346" s="15">
        <v>31</v>
      </c>
      <c r="E346" s="4">
        <f t="shared" si="51"/>
        <v>24.8</v>
      </c>
    </row>
    <row r="347" spans="4:12" ht="19.5" thickBot="1">
      <c r="D347" s="15">
        <v>33</v>
      </c>
      <c r="E347" s="4">
        <f t="shared" si="51"/>
        <v>26.4</v>
      </c>
      <c r="H347" s="5">
        <v>48</v>
      </c>
      <c r="I347" s="4">
        <f>H347*50/70</f>
        <v>34.285714285714285</v>
      </c>
      <c r="K347" s="5">
        <v>3</v>
      </c>
      <c r="L347" s="4">
        <f>K347*30/40</f>
        <v>2.25</v>
      </c>
    </row>
    <row r="348" spans="4:12" ht="19.5" thickBot="1">
      <c r="D348" s="15"/>
      <c r="E348" s="4">
        <f t="shared" si="51"/>
        <v>0</v>
      </c>
      <c r="H348" s="6">
        <v>6</v>
      </c>
      <c r="I348" s="4">
        <f aca="true" t="shared" si="52" ref="I348:I356">H348*50/70</f>
        <v>4.285714285714286</v>
      </c>
      <c r="K348" s="6">
        <v>3</v>
      </c>
      <c r="L348" s="4">
        <f aca="true" t="shared" si="53" ref="L348:L354">K348*30/40</f>
        <v>2.25</v>
      </c>
    </row>
    <row r="349" spans="4:12" ht="19.5" thickBot="1">
      <c r="D349" s="15">
        <v>16</v>
      </c>
      <c r="E349" s="4">
        <f t="shared" si="51"/>
        <v>12.8</v>
      </c>
      <c r="H349" s="6">
        <v>4</v>
      </c>
      <c r="I349" s="4">
        <f t="shared" si="52"/>
        <v>2.857142857142857</v>
      </c>
      <c r="K349" s="6">
        <v>7</v>
      </c>
      <c r="L349" s="4">
        <f t="shared" si="53"/>
        <v>5.25</v>
      </c>
    </row>
    <row r="350" spans="4:12" ht="19.5" thickBot="1">
      <c r="D350" s="15">
        <v>17</v>
      </c>
      <c r="E350" s="4">
        <f t="shared" si="51"/>
        <v>13.6</v>
      </c>
      <c r="H350" s="6">
        <v>4</v>
      </c>
      <c r="I350" s="4">
        <f t="shared" si="52"/>
        <v>2.857142857142857</v>
      </c>
      <c r="K350" s="6"/>
      <c r="L350" s="4">
        <f t="shared" si="53"/>
        <v>0</v>
      </c>
    </row>
    <row r="351" spans="4:12" ht="19.5" thickBot="1">
      <c r="D351" s="15">
        <v>6</v>
      </c>
      <c r="E351" s="4">
        <f t="shared" si="51"/>
        <v>4.8</v>
      </c>
      <c r="H351" s="6">
        <v>9</v>
      </c>
      <c r="I351" s="4">
        <f t="shared" si="52"/>
        <v>6.428571428571429</v>
      </c>
      <c r="K351" s="6">
        <v>15</v>
      </c>
      <c r="L351" s="4">
        <f t="shared" si="53"/>
        <v>11.25</v>
      </c>
    </row>
    <row r="352" spans="4:12" ht="19.5" thickBot="1">
      <c r="D352" s="15">
        <v>4</v>
      </c>
      <c r="E352" s="4">
        <f t="shared" si="51"/>
        <v>3.2</v>
      </c>
      <c r="H352" s="6">
        <v>16</v>
      </c>
      <c r="I352" s="4">
        <f t="shared" si="52"/>
        <v>11.428571428571429</v>
      </c>
      <c r="K352" s="6">
        <v>16</v>
      </c>
      <c r="L352" s="4">
        <f t="shared" si="53"/>
        <v>12</v>
      </c>
    </row>
    <row r="353" spans="4:12" ht="19.5" thickBot="1">
      <c r="D353" s="15">
        <v>0.25</v>
      </c>
      <c r="E353" s="4">
        <f t="shared" si="51"/>
        <v>0.2</v>
      </c>
      <c r="H353" s="6">
        <v>86</v>
      </c>
      <c r="I353" s="4">
        <f t="shared" si="52"/>
        <v>61.42857142857143</v>
      </c>
      <c r="K353" s="6">
        <v>40</v>
      </c>
      <c r="L353" s="4">
        <f t="shared" si="53"/>
        <v>30</v>
      </c>
    </row>
    <row r="354" spans="4:12" ht="19.5" thickBot="1">
      <c r="D354" s="15">
        <v>2.5</v>
      </c>
      <c r="E354" s="4">
        <f t="shared" si="51"/>
        <v>2</v>
      </c>
      <c r="H354" s="6">
        <v>4</v>
      </c>
      <c r="I354" s="4">
        <f t="shared" si="52"/>
        <v>2.857142857142857</v>
      </c>
      <c r="K354" s="6">
        <v>40</v>
      </c>
      <c r="L354" s="4">
        <f t="shared" si="53"/>
        <v>30</v>
      </c>
    </row>
    <row r="355" spans="4:9" ht="19.5" thickBot="1">
      <c r="D355" s="15">
        <v>188</v>
      </c>
      <c r="E355" s="4">
        <f t="shared" si="51"/>
        <v>150.4</v>
      </c>
      <c r="H355" s="6">
        <v>70</v>
      </c>
      <c r="I355" s="4">
        <f t="shared" si="52"/>
        <v>50</v>
      </c>
    </row>
    <row r="356" spans="4:9" ht="19.5" thickBot="1">
      <c r="D356" s="9">
        <v>250</v>
      </c>
      <c r="E356" s="4">
        <f t="shared" si="51"/>
        <v>200</v>
      </c>
      <c r="H356" s="6">
        <v>70</v>
      </c>
      <c r="I356" s="4">
        <f t="shared" si="52"/>
        <v>50</v>
      </c>
    </row>
    <row r="360" ht="19.5" thickBot="1"/>
    <row r="361" spans="5:6" ht="19.5" thickBot="1">
      <c r="E361" s="30">
        <v>170</v>
      </c>
      <c r="F361" s="4">
        <f>E361*130/150</f>
        <v>147.33333333333334</v>
      </c>
    </row>
    <row r="362" spans="5:13" ht="19.5" thickBot="1">
      <c r="E362" s="27">
        <v>183</v>
      </c>
      <c r="F362" s="4">
        <f aca="true" t="shared" si="54" ref="F362:F368">E362*130/150</f>
        <v>158.6</v>
      </c>
      <c r="I362" s="31">
        <v>17</v>
      </c>
      <c r="J362" s="4">
        <f>I362*150/200</f>
        <v>12.75</v>
      </c>
      <c r="L362" s="5">
        <v>28</v>
      </c>
      <c r="M362" s="4">
        <f>L362*60/70</f>
        <v>24</v>
      </c>
    </row>
    <row r="363" spans="5:13" ht="19.5" thickBot="1">
      <c r="E363" s="27">
        <v>197</v>
      </c>
      <c r="F363" s="4">
        <f t="shared" si="54"/>
        <v>170.73333333333332</v>
      </c>
      <c r="I363" s="32">
        <v>17</v>
      </c>
      <c r="J363" s="4">
        <f aca="true" t="shared" si="55" ref="J363:J371">I363*150/200</f>
        <v>12.75</v>
      </c>
      <c r="L363" s="6">
        <v>2</v>
      </c>
      <c r="M363" s="4">
        <f aca="true" t="shared" si="56" ref="M363:M373">L363*60/70</f>
        <v>1.7142857142857142</v>
      </c>
    </row>
    <row r="364" spans="5:13" ht="19.5" thickBot="1">
      <c r="E364" s="27">
        <v>214</v>
      </c>
      <c r="F364" s="4">
        <f t="shared" si="54"/>
        <v>185.46666666666667</v>
      </c>
      <c r="I364" s="32">
        <v>17</v>
      </c>
      <c r="J364" s="4">
        <f t="shared" si="55"/>
        <v>12.75</v>
      </c>
      <c r="L364" s="6">
        <v>3</v>
      </c>
      <c r="M364" s="4">
        <f t="shared" si="56"/>
        <v>2.5714285714285716</v>
      </c>
    </row>
    <row r="365" spans="5:13" ht="19.5" thickBot="1">
      <c r="E365" s="9">
        <v>24</v>
      </c>
      <c r="F365" s="4">
        <f t="shared" si="54"/>
        <v>20.8</v>
      </c>
      <c r="I365" s="32">
        <v>17</v>
      </c>
      <c r="J365" s="4">
        <f t="shared" si="55"/>
        <v>12.75</v>
      </c>
      <c r="L365" s="6">
        <v>3</v>
      </c>
      <c r="M365" s="4">
        <f t="shared" si="56"/>
        <v>2.5714285714285716</v>
      </c>
    </row>
    <row r="366" spans="5:13" ht="19.5" thickBot="1">
      <c r="E366" s="9">
        <v>23</v>
      </c>
      <c r="F366" s="4">
        <f t="shared" si="54"/>
        <v>19.933333333333334</v>
      </c>
      <c r="I366" s="32">
        <v>17</v>
      </c>
      <c r="J366" s="4">
        <f t="shared" si="55"/>
        <v>12.75</v>
      </c>
      <c r="L366" s="6">
        <v>1</v>
      </c>
      <c r="M366" s="4">
        <f t="shared" si="56"/>
        <v>0.8571428571428571</v>
      </c>
    </row>
    <row r="367" spans="5:13" ht="19.5" thickBot="1">
      <c r="E367" s="9">
        <v>5</v>
      </c>
      <c r="F367" s="4">
        <f t="shared" si="54"/>
        <v>4.333333333333333</v>
      </c>
      <c r="I367" s="32">
        <v>17</v>
      </c>
      <c r="J367" s="4">
        <f t="shared" si="55"/>
        <v>12.75</v>
      </c>
      <c r="L367" s="6">
        <v>7</v>
      </c>
      <c r="M367" s="4">
        <f t="shared" si="56"/>
        <v>6</v>
      </c>
    </row>
    <row r="368" spans="5:13" ht="19.5" thickBot="1">
      <c r="E368" s="9">
        <v>150</v>
      </c>
      <c r="F368" s="4">
        <f t="shared" si="54"/>
        <v>130</v>
      </c>
      <c r="I368" s="32">
        <v>17</v>
      </c>
      <c r="J368" s="4">
        <f t="shared" si="55"/>
        <v>12.75</v>
      </c>
      <c r="L368" s="6">
        <v>44</v>
      </c>
      <c r="M368" s="4">
        <f t="shared" si="56"/>
        <v>37.714285714285715</v>
      </c>
    </row>
    <row r="369" spans="9:13" ht="19.5" thickBot="1">
      <c r="I369" s="29">
        <v>15</v>
      </c>
      <c r="J369" s="4">
        <f t="shared" si="55"/>
        <v>11.25</v>
      </c>
      <c r="L369" s="6">
        <v>1</v>
      </c>
      <c r="M369" s="4">
        <f t="shared" si="56"/>
        <v>0.8571428571428571</v>
      </c>
    </row>
    <row r="370" spans="9:13" ht="19.5" thickBot="1">
      <c r="I370" s="29">
        <v>190</v>
      </c>
      <c r="J370" s="4">
        <f t="shared" si="55"/>
        <v>142.5</v>
      </c>
      <c r="L370" s="6">
        <v>36</v>
      </c>
      <c r="M370" s="4">
        <f t="shared" si="56"/>
        <v>30.857142857142858</v>
      </c>
    </row>
    <row r="371" spans="9:13" ht="19.5" thickBot="1">
      <c r="I371" s="29">
        <v>200</v>
      </c>
      <c r="J371" s="4">
        <f t="shared" si="55"/>
        <v>150</v>
      </c>
      <c r="L371" s="6">
        <v>0.3</v>
      </c>
      <c r="M371" s="4">
        <f t="shared" si="56"/>
        <v>0.2571428571428571</v>
      </c>
    </row>
    <row r="372" spans="5:13" ht="19.5" thickBot="1">
      <c r="E372" s="28">
        <v>0.6</v>
      </c>
      <c r="L372" s="6">
        <v>1</v>
      </c>
      <c r="M372" s="4">
        <f t="shared" si="56"/>
        <v>0.8571428571428571</v>
      </c>
    </row>
    <row r="373" spans="5:13" ht="19.5" thickBot="1">
      <c r="E373" s="29">
        <v>49.4</v>
      </c>
      <c r="L373" s="6">
        <v>70</v>
      </c>
      <c r="M373" s="4">
        <f t="shared" si="56"/>
        <v>60</v>
      </c>
    </row>
    <row r="374" ht="19.5" thickBot="1">
      <c r="E374" s="29">
        <v>50</v>
      </c>
    </row>
    <row r="375" ht="19.5" thickBot="1">
      <c r="E375" s="29">
        <v>150</v>
      </c>
    </row>
    <row r="376" ht="19.5" thickBot="1">
      <c r="E376" s="29">
        <v>200</v>
      </c>
    </row>
    <row r="386" ht="19.5" thickBot="1"/>
    <row r="387" spans="5:6" ht="19.5" thickBot="1">
      <c r="E387" s="28">
        <v>0.6</v>
      </c>
      <c r="F387" s="4">
        <f>E387*150/200</f>
        <v>0.45</v>
      </c>
    </row>
    <row r="388" spans="5:6" ht="19.5" thickBot="1">
      <c r="E388" s="29">
        <v>49.4</v>
      </c>
      <c r="F388" s="4">
        <f>E388*150/200</f>
        <v>37.05</v>
      </c>
    </row>
    <row r="389" spans="5:6" ht="19.5" thickBot="1">
      <c r="E389" s="29">
        <v>50</v>
      </c>
      <c r="F389" s="4">
        <f>E389*150/200</f>
        <v>37.5</v>
      </c>
    </row>
    <row r="390" spans="5:6" ht="19.5" thickBot="1">
      <c r="E390" s="29">
        <v>150</v>
      </c>
      <c r="F390" s="4">
        <f>E390*150/200</f>
        <v>112.5</v>
      </c>
    </row>
    <row r="391" spans="5:6" ht="19.5" thickBot="1">
      <c r="E391" s="29">
        <v>200</v>
      </c>
      <c r="F391" s="4">
        <f>E391*150/200</f>
        <v>150</v>
      </c>
    </row>
    <row r="392" ht="19.5" thickBot="1"/>
    <row r="393" spans="9:13" ht="19.5" thickBot="1">
      <c r="I393" s="28">
        <v>0.6</v>
      </c>
      <c r="J393" s="4">
        <f>I393*150/180</f>
        <v>0.5</v>
      </c>
      <c r="L393" s="13">
        <v>13</v>
      </c>
      <c r="M393" s="4">
        <f>L393*150/200</f>
        <v>9.75</v>
      </c>
    </row>
    <row r="394" spans="9:13" ht="19.5" thickBot="1">
      <c r="I394" s="29">
        <v>49.4</v>
      </c>
      <c r="J394" s="4">
        <f>I394*150/180</f>
        <v>41.166666666666664</v>
      </c>
      <c r="L394" s="9">
        <v>10</v>
      </c>
      <c r="M394" s="4">
        <f aca="true" t="shared" si="57" ref="M394:M400">L394*150/200</f>
        <v>7.5</v>
      </c>
    </row>
    <row r="395" spans="6:13" ht="19.5" thickBot="1">
      <c r="F395" s="28">
        <v>1.2</v>
      </c>
      <c r="G395" s="4">
        <f>F395*150/180</f>
        <v>1</v>
      </c>
      <c r="I395" s="29">
        <v>50</v>
      </c>
      <c r="J395" s="4">
        <f>I395*150/180</f>
        <v>41.666666666666664</v>
      </c>
      <c r="L395" s="9">
        <v>150</v>
      </c>
      <c r="M395" s="4">
        <f t="shared" si="57"/>
        <v>112.5</v>
      </c>
    </row>
    <row r="396" spans="6:13" ht="19.5" thickBot="1">
      <c r="F396" s="29">
        <v>50</v>
      </c>
      <c r="G396" s="4">
        <f>F396*150/180</f>
        <v>41.666666666666664</v>
      </c>
      <c r="I396" s="29">
        <v>12</v>
      </c>
      <c r="J396" s="4">
        <f>I396*150/180</f>
        <v>10</v>
      </c>
      <c r="L396" s="9">
        <v>35</v>
      </c>
      <c r="M396" s="4">
        <f t="shared" si="57"/>
        <v>26.25</v>
      </c>
    </row>
    <row r="397" spans="6:13" ht="19.5" thickBot="1">
      <c r="F397" s="29">
        <v>139</v>
      </c>
      <c r="G397" s="4">
        <f>F397*150/180</f>
        <v>115.83333333333333</v>
      </c>
      <c r="I397" s="29">
        <v>130</v>
      </c>
      <c r="J397" s="4">
        <f>I397*150/180</f>
        <v>108.33333333333333</v>
      </c>
      <c r="L397" s="9">
        <v>5</v>
      </c>
      <c r="M397" s="4">
        <f t="shared" si="57"/>
        <v>3.75</v>
      </c>
    </row>
    <row r="398" spans="6:13" ht="19.5" thickBot="1">
      <c r="F398" s="29">
        <v>12</v>
      </c>
      <c r="G398" s="4">
        <f>F398*150/180</f>
        <v>10</v>
      </c>
      <c r="L398" s="9">
        <v>197</v>
      </c>
      <c r="M398" s="4">
        <f t="shared" si="57"/>
        <v>147.75</v>
      </c>
    </row>
    <row r="399" spans="6:13" ht="19.5" thickBot="1">
      <c r="F399" s="29">
        <v>180</v>
      </c>
      <c r="G399" s="4">
        <f>F399*150/180</f>
        <v>150</v>
      </c>
      <c r="L399" s="9">
        <v>3</v>
      </c>
      <c r="M399" s="4">
        <f t="shared" si="57"/>
        <v>2.25</v>
      </c>
    </row>
    <row r="400" spans="12:13" ht="19.5" thickBot="1">
      <c r="L400" s="9">
        <v>200</v>
      </c>
      <c r="M400" s="4">
        <f t="shared" si="57"/>
        <v>150</v>
      </c>
    </row>
    <row r="401" spans="5:6" ht="19.5" thickBot="1">
      <c r="E401" s="25">
        <v>77</v>
      </c>
      <c r="F401" s="4">
        <f>E401*45/60</f>
        <v>57.75</v>
      </c>
    </row>
    <row r="402" spans="5:11" ht="19.5" thickBot="1">
      <c r="E402" s="26">
        <v>46</v>
      </c>
      <c r="F402" s="4">
        <f>E402*45/60</f>
        <v>34.5</v>
      </c>
      <c r="J402" s="14">
        <v>100</v>
      </c>
      <c r="K402" s="4">
        <f>J402*200/250</f>
        <v>80</v>
      </c>
    </row>
    <row r="403" spans="5:11" ht="19.5" thickBot="1">
      <c r="E403" s="26">
        <v>10</v>
      </c>
      <c r="F403" s="4">
        <f>E403*45/60</f>
        <v>7.5</v>
      </c>
      <c r="J403" s="15">
        <v>107</v>
      </c>
      <c r="K403" s="4">
        <f aca="true" t="shared" si="58" ref="K403:K413">J403*200/250</f>
        <v>85.6</v>
      </c>
    </row>
    <row r="404" spans="5:11" ht="19.5" thickBot="1">
      <c r="E404" s="26">
        <v>5</v>
      </c>
      <c r="F404" s="4">
        <f>E404*45/60</f>
        <v>3.75</v>
      </c>
      <c r="J404" s="15">
        <v>116</v>
      </c>
      <c r="K404" s="4">
        <f t="shared" si="58"/>
        <v>92.8</v>
      </c>
    </row>
    <row r="405" spans="5:11" ht="19.5" thickBot="1">
      <c r="E405" s="26">
        <v>60</v>
      </c>
      <c r="F405" s="4">
        <f>E405*45/60</f>
        <v>45</v>
      </c>
      <c r="J405" s="15">
        <v>125</v>
      </c>
      <c r="K405" s="4">
        <f t="shared" si="58"/>
        <v>100</v>
      </c>
    </row>
    <row r="406" spans="10:11" ht="19.5" thickBot="1">
      <c r="J406" s="15">
        <v>5</v>
      </c>
      <c r="K406" s="4">
        <f t="shared" si="58"/>
        <v>4</v>
      </c>
    </row>
    <row r="407" spans="7:11" ht="19.5" thickBot="1">
      <c r="G407" s="14">
        <v>150</v>
      </c>
      <c r="H407" s="4">
        <f>G407*200/220</f>
        <v>136.36363636363637</v>
      </c>
      <c r="J407" s="15">
        <v>13</v>
      </c>
      <c r="K407" s="4">
        <f t="shared" si="58"/>
        <v>10.4</v>
      </c>
    </row>
    <row r="408" spans="7:11" ht="19.5" thickBot="1">
      <c r="G408" s="15">
        <v>122</v>
      </c>
      <c r="H408" s="4">
        <f aca="true" t="shared" si="59" ref="H408:H422">G408*200/220</f>
        <v>110.9090909090909</v>
      </c>
      <c r="J408" s="15"/>
      <c r="K408" s="4">
        <f t="shared" si="58"/>
        <v>0</v>
      </c>
    </row>
    <row r="409" spans="7:11" ht="19.5" thickBot="1">
      <c r="G409" s="15"/>
      <c r="H409" s="4">
        <f t="shared" si="59"/>
        <v>0</v>
      </c>
      <c r="J409" s="15">
        <v>12.5</v>
      </c>
      <c r="K409" s="4">
        <f t="shared" si="58"/>
        <v>10</v>
      </c>
    </row>
    <row r="410" spans="7:11" ht="19.5" thickBot="1">
      <c r="G410" s="15">
        <v>132</v>
      </c>
      <c r="H410" s="4">
        <f t="shared" si="59"/>
        <v>120</v>
      </c>
      <c r="J410" s="15">
        <v>13.3</v>
      </c>
      <c r="K410" s="4">
        <f t="shared" si="58"/>
        <v>10.64</v>
      </c>
    </row>
    <row r="411" spans="7:11" ht="19.5" thickBot="1">
      <c r="G411" s="15">
        <v>142</v>
      </c>
      <c r="H411" s="4">
        <f t="shared" si="59"/>
        <v>129.0909090909091</v>
      </c>
      <c r="J411" s="15">
        <v>4</v>
      </c>
      <c r="K411" s="4">
        <f t="shared" si="58"/>
        <v>3.2</v>
      </c>
    </row>
    <row r="412" spans="7:11" ht="19.5" thickBot="1">
      <c r="G412" s="15">
        <v>152</v>
      </c>
      <c r="H412" s="4">
        <f t="shared" si="59"/>
        <v>138.1818181818182</v>
      </c>
      <c r="J412" s="15">
        <v>188</v>
      </c>
      <c r="K412" s="4">
        <f t="shared" si="58"/>
        <v>150.4</v>
      </c>
    </row>
    <row r="413" spans="7:11" ht="19.5" thickBot="1">
      <c r="G413" s="15">
        <v>165</v>
      </c>
      <c r="H413" s="4">
        <f t="shared" si="59"/>
        <v>150</v>
      </c>
      <c r="J413" s="9">
        <v>250</v>
      </c>
      <c r="K413" s="4">
        <f t="shared" si="58"/>
        <v>200</v>
      </c>
    </row>
    <row r="414" spans="7:8" ht="19.5" thickBot="1">
      <c r="G414" s="15">
        <v>14</v>
      </c>
      <c r="H414" s="4">
        <f t="shared" si="59"/>
        <v>12.727272727272727</v>
      </c>
    </row>
    <row r="415" spans="7:8" ht="19.5" thickBot="1">
      <c r="G415" s="15">
        <v>5</v>
      </c>
      <c r="H415" s="4">
        <f t="shared" si="59"/>
        <v>4.545454545454546</v>
      </c>
    </row>
    <row r="416" spans="7:11" ht="19.5" thickBot="1">
      <c r="G416" s="15">
        <v>3</v>
      </c>
      <c r="H416" s="4">
        <f t="shared" si="59"/>
        <v>2.727272727272727</v>
      </c>
      <c r="J416" s="25">
        <v>24</v>
      </c>
      <c r="K416" s="4">
        <f>J416*150/200</f>
        <v>18</v>
      </c>
    </row>
    <row r="417" spans="7:11" ht="19.5" thickBot="1">
      <c r="G417" s="15"/>
      <c r="H417" s="4">
        <f t="shared" si="59"/>
        <v>0</v>
      </c>
      <c r="J417" s="26">
        <v>190</v>
      </c>
      <c r="K417" s="4">
        <f>J417*150/200</f>
        <v>142.5</v>
      </c>
    </row>
    <row r="418" spans="7:11" ht="19.5" thickBot="1">
      <c r="G418" s="27">
        <v>33</v>
      </c>
      <c r="H418" s="4">
        <f t="shared" si="59"/>
        <v>30</v>
      </c>
      <c r="J418" s="26">
        <v>200</v>
      </c>
      <c r="K418" s="4">
        <f>J418*150/200</f>
        <v>150</v>
      </c>
    </row>
    <row r="419" spans="7:8" ht="19.5" thickBot="1">
      <c r="G419" s="27">
        <v>35</v>
      </c>
      <c r="H419" s="4">
        <f t="shared" si="59"/>
        <v>31.818181818181817</v>
      </c>
    </row>
    <row r="420" spans="7:8" ht="19.5" thickBot="1">
      <c r="G420" s="9">
        <v>70</v>
      </c>
      <c r="H420" s="4">
        <f t="shared" si="59"/>
        <v>63.63636363636363</v>
      </c>
    </row>
    <row r="421" spans="7:8" ht="19.5" thickBot="1">
      <c r="G421" s="9">
        <v>150</v>
      </c>
      <c r="H421" s="4">
        <f t="shared" si="59"/>
        <v>136.36363636363637</v>
      </c>
    </row>
    <row r="422" spans="7:8" ht="19.5" thickBot="1">
      <c r="G422" s="9">
        <v>220</v>
      </c>
      <c r="H422" s="4">
        <f t="shared" si="59"/>
        <v>200</v>
      </c>
    </row>
    <row r="424" ht="19.5" thickBot="1"/>
    <row r="425" spans="5:6" ht="19.5" thickBot="1">
      <c r="E425" s="25">
        <v>131</v>
      </c>
      <c r="F425" s="4">
        <f>E425*100/140</f>
        <v>93.57142857142857</v>
      </c>
    </row>
    <row r="426" spans="5:12" ht="19.5" thickBot="1">
      <c r="E426" s="26">
        <v>9</v>
      </c>
      <c r="F426" s="4">
        <f aca="true" t="shared" si="60" ref="F426:F434">E426*100/140</f>
        <v>6.428571428571429</v>
      </c>
      <c r="H426" s="13">
        <v>25</v>
      </c>
      <c r="I426" s="4">
        <f>H426*150/200</f>
        <v>18.75</v>
      </c>
      <c r="K426" s="25">
        <v>77</v>
      </c>
      <c r="L426" s="4">
        <f>K426*45/60</f>
        <v>57.75</v>
      </c>
    </row>
    <row r="427" spans="5:12" ht="19.5" thickBot="1">
      <c r="E427" s="26">
        <v>34</v>
      </c>
      <c r="F427" s="4">
        <f t="shared" si="60"/>
        <v>24.285714285714285</v>
      </c>
      <c r="H427" s="9">
        <v>150</v>
      </c>
      <c r="I427" s="4">
        <f aca="true" t="shared" si="61" ref="I427:I432">H427*150/200</f>
        <v>112.5</v>
      </c>
      <c r="K427" s="26">
        <v>46</v>
      </c>
      <c r="L427" s="4">
        <f>K427*45/60</f>
        <v>34.5</v>
      </c>
    </row>
    <row r="428" spans="5:12" ht="19.5" thickBot="1">
      <c r="E428" s="26">
        <v>11</v>
      </c>
      <c r="F428" s="4">
        <f t="shared" si="60"/>
        <v>7.857142857142857</v>
      </c>
      <c r="H428" s="9">
        <v>35</v>
      </c>
      <c r="I428" s="4">
        <f t="shared" si="61"/>
        <v>26.25</v>
      </c>
      <c r="K428" s="26">
        <v>10</v>
      </c>
      <c r="L428" s="4">
        <f>K428*45/60</f>
        <v>7.5</v>
      </c>
    </row>
    <row r="429" spans="5:12" ht="19.5" thickBot="1">
      <c r="E429" s="26">
        <v>9</v>
      </c>
      <c r="F429" s="4">
        <f t="shared" si="60"/>
        <v>6.428571428571429</v>
      </c>
      <c r="H429" s="9">
        <v>5</v>
      </c>
      <c r="I429" s="4">
        <f t="shared" si="61"/>
        <v>3.75</v>
      </c>
      <c r="K429" s="26">
        <v>5</v>
      </c>
      <c r="L429" s="4">
        <f>K429*45/60</f>
        <v>3.75</v>
      </c>
    </row>
    <row r="430" spans="5:12" ht="19.5" thickBot="1">
      <c r="E430" s="26">
        <v>4</v>
      </c>
      <c r="F430" s="4">
        <f t="shared" si="60"/>
        <v>2.857142857142857</v>
      </c>
      <c r="H430" s="9">
        <v>197</v>
      </c>
      <c r="I430" s="4">
        <f t="shared" si="61"/>
        <v>147.75</v>
      </c>
      <c r="K430" s="26">
        <v>60</v>
      </c>
      <c r="L430" s="4">
        <f>K430*45/60</f>
        <v>45</v>
      </c>
    </row>
    <row r="431" spans="5:9" ht="19.5" thickBot="1">
      <c r="E431" s="26">
        <v>5</v>
      </c>
      <c r="F431" s="4">
        <f t="shared" si="60"/>
        <v>3.5714285714285716</v>
      </c>
      <c r="H431" s="9">
        <v>3</v>
      </c>
      <c r="I431" s="4">
        <f t="shared" si="61"/>
        <v>2.25</v>
      </c>
    </row>
    <row r="432" spans="5:9" ht="19.5" thickBot="1">
      <c r="E432" s="26">
        <v>5</v>
      </c>
      <c r="F432" s="4">
        <f t="shared" si="60"/>
        <v>3.5714285714285716</v>
      </c>
      <c r="H432" s="9">
        <v>200</v>
      </c>
      <c r="I432" s="4">
        <f t="shared" si="61"/>
        <v>150</v>
      </c>
    </row>
    <row r="433" spans="5:6" ht="19.5" thickBot="1">
      <c r="E433" s="26">
        <v>5</v>
      </c>
      <c r="F433" s="4">
        <f t="shared" si="60"/>
        <v>3.5714285714285716</v>
      </c>
    </row>
    <row r="434" spans="5:6" ht="19.5" thickBot="1">
      <c r="E434" s="26">
        <v>140</v>
      </c>
      <c r="F434" s="4">
        <f t="shared" si="60"/>
        <v>100</v>
      </c>
    </row>
    <row r="436" ht="19.5" thickBot="1"/>
    <row r="437" spans="8:13" ht="19.5" thickBot="1">
      <c r="H437" s="14">
        <v>115</v>
      </c>
      <c r="I437" s="4">
        <f>H437*200/250</f>
        <v>92</v>
      </c>
      <c r="L437" s="5">
        <v>236</v>
      </c>
      <c r="M437" s="4">
        <f>L437*150/180</f>
        <v>196.66666666666666</v>
      </c>
    </row>
    <row r="438" spans="8:13" ht="19.5" thickBot="1">
      <c r="H438" s="15">
        <v>107</v>
      </c>
      <c r="I438" s="4">
        <f aca="true" t="shared" si="62" ref="I438:I449">H438*200/250</f>
        <v>85.6</v>
      </c>
      <c r="L438" s="6">
        <v>8</v>
      </c>
      <c r="M438" s="4">
        <f aca="true" t="shared" si="63" ref="M438:M446">L438*150/180</f>
        <v>6.666666666666667</v>
      </c>
    </row>
    <row r="439" spans="8:13" ht="19.5" thickBot="1">
      <c r="H439" s="15">
        <v>116</v>
      </c>
      <c r="I439" s="4">
        <f t="shared" si="62"/>
        <v>92.8</v>
      </c>
      <c r="L439" s="6">
        <v>14</v>
      </c>
      <c r="M439" s="4">
        <f t="shared" si="63"/>
        <v>11.666666666666666</v>
      </c>
    </row>
    <row r="440" spans="8:13" ht="19.5" thickBot="1">
      <c r="H440" s="15">
        <v>125</v>
      </c>
      <c r="I440" s="4">
        <f t="shared" si="62"/>
        <v>100</v>
      </c>
      <c r="L440" s="6"/>
      <c r="M440" s="4">
        <f t="shared" si="63"/>
        <v>0</v>
      </c>
    </row>
    <row r="441" spans="8:13" ht="19.5" thickBot="1">
      <c r="H441" s="15">
        <v>5</v>
      </c>
      <c r="I441" s="4">
        <f t="shared" si="62"/>
        <v>4</v>
      </c>
      <c r="L441" s="6">
        <v>9</v>
      </c>
      <c r="M441" s="4">
        <f t="shared" si="63"/>
        <v>7.5</v>
      </c>
    </row>
    <row r="442" spans="8:13" ht="19.5" thickBot="1">
      <c r="H442" s="15"/>
      <c r="I442" s="4">
        <f t="shared" si="62"/>
        <v>0</v>
      </c>
      <c r="L442" s="6">
        <v>10</v>
      </c>
      <c r="M442" s="4">
        <f t="shared" si="63"/>
        <v>8.333333333333334</v>
      </c>
    </row>
    <row r="443" spans="8:13" ht="19.5" thickBot="1">
      <c r="H443" s="15">
        <v>12.5</v>
      </c>
      <c r="I443" s="4">
        <f t="shared" si="62"/>
        <v>10</v>
      </c>
      <c r="L443" s="6">
        <v>13</v>
      </c>
      <c r="M443" s="4">
        <f t="shared" si="63"/>
        <v>10.833333333333334</v>
      </c>
    </row>
    <row r="444" spans="8:13" ht="19.5" thickBot="1">
      <c r="H444" s="15">
        <v>13.3</v>
      </c>
      <c r="I444" s="4">
        <f t="shared" si="62"/>
        <v>10.64</v>
      </c>
      <c r="L444" s="6">
        <v>2</v>
      </c>
      <c r="M444" s="4">
        <f t="shared" si="63"/>
        <v>1.6666666666666667</v>
      </c>
    </row>
    <row r="445" spans="8:13" ht="19.5" thickBot="1">
      <c r="H445" s="15">
        <v>6</v>
      </c>
      <c r="I445" s="4">
        <f t="shared" si="62"/>
        <v>4.8</v>
      </c>
      <c r="L445" s="6">
        <v>5</v>
      </c>
      <c r="M445" s="4">
        <f t="shared" si="63"/>
        <v>4.166666666666667</v>
      </c>
    </row>
    <row r="446" spans="4:13" ht="19.5" thickBot="1">
      <c r="D446" s="5">
        <v>34</v>
      </c>
      <c r="E446" s="4">
        <f>D446*60/70</f>
        <v>29.142857142857142</v>
      </c>
      <c r="H446" s="15">
        <v>18</v>
      </c>
      <c r="I446" s="4">
        <f t="shared" si="62"/>
        <v>14.4</v>
      </c>
      <c r="L446" s="6">
        <v>180</v>
      </c>
      <c r="M446" s="4">
        <f t="shared" si="63"/>
        <v>150</v>
      </c>
    </row>
    <row r="447" spans="4:9" ht="19.5" thickBot="1">
      <c r="D447" s="6">
        <v>2</v>
      </c>
      <c r="E447" s="4">
        <f aca="true" t="shared" si="64" ref="E447:E462">D447*60/70</f>
        <v>1.7142857142857142</v>
      </c>
      <c r="H447" s="15">
        <v>4</v>
      </c>
      <c r="I447" s="4">
        <f t="shared" si="62"/>
        <v>3.2</v>
      </c>
    </row>
    <row r="448" spans="4:9" ht="19.5" thickBot="1">
      <c r="D448" s="6">
        <v>2</v>
      </c>
      <c r="E448" s="4">
        <f t="shared" si="64"/>
        <v>1.7142857142857142</v>
      </c>
      <c r="H448" s="15">
        <v>188</v>
      </c>
      <c r="I448" s="4">
        <f t="shared" si="62"/>
        <v>150.4</v>
      </c>
    </row>
    <row r="449" spans="4:9" ht="19.5" thickBot="1">
      <c r="D449" s="6">
        <v>2</v>
      </c>
      <c r="E449" s="4">
        <f t="shared" si="64"/>
        <v>1.7142857142857142</v>
      </c>
      <c r="H449" s="9">
        <v>250</v>
      </c>
      <c r="I449" s="4">
        <f t="shared" si="62"/>
        <v>200</v>
      </c>
    </row>
    <row r="450" spans="4:5" ht="19.5" thickBot="1">
      <c r="D450" s="6">
        <v>1</v>
      </c>
      <c r="E450" s="4">
        <f t="shared" si="64"/>
        <v>0.8571428571428571</v>
      </c>
    </row>
    <row r="451" spans="4:5" ht="19.5" thickBot="1">
      <c r="D451" s="6">
        <v>14</v>
      </c>
      <c r="E451" s="4">
        <f t="shared" si="64"/>
        <v>12</v>
      </c>
    </row>
    <row r="452" spans="4:5" ht="19.5" thickBot="1">
      <c r="D452" s="6">
        <v>54</v>
      </c>
      <c r="E452" s="4">
        <f t="shared" si="64"/>
        <v>46.285714285714285</v>
      </c>
    </row>
    <row r="453" spans="4:5" ht="19.5" thickBot="1">
      <c r="D453" s="6">
        <v>2</v>
      </c>
      <c r="E453" s="4">
        <f t="shared" si="64"/>
        <v>1.7142857142857142</v>
      </c>
    </row>
    <row r="454" spans="4:5" ht="19.5" thickBot="1">
      <c r="D454" s="6">
        <v>28</v>
      </c>
      <c r="E454" s="4">
        <f t="shared" si="64"/>
        <v>24</v>
      </c>
    </row>
    <row r="455" spans="4:5" ht="19.5" thickBot="1">
      <c r="D455" s="6">
        <v>25.5</v>
      </c>
      <c r="E455" s="4">
        <f t="shared" si="64"/>
        <v>21.857142857142858</v>
      </c>
    </row>
    <row r="456" spans="4:5" ht="19.5" thickBot="1">
      <c r="D456" s="6">
        <v>2</v>
      </c>
      <c r="E456" s="4">
        <f t="shared" si="64"/>
        <v>1.7142857142857142</v>
      </c>
    </row>
    <row r="457" spans="4:12" ht="19.5" thickBot="1">
      <c r="D457" s="6">
        <v>2</v>
      </c>
      <c r="E457" s="4">
        <f t="shared" si="64"/>
        <v>1.7142857142857142</v>
      </c>
      <c r="G457" s="25">
        <v>115</v>
      </c>
      <c r="H457" s="4">
        <f>G457*70/80</f>
        <v>100.625</v>
      </c>
      <c r="K457" s="30">
        <v>44</v>
      </c>
      <c r="L457" s="4">
        <f>K457*130/150</f>
        <v>38.13333333333333</v>
      </c>
    </row>
    <row r="458" spans="4:12" ht="19.5" thickBot="1">
      <c r="D458" s="6">
        <v>2</v>
      </c>
      <c r="E458" s="4">
        <f t="shared" si="64"/>
        <v>1.7142857142857142</v>
      </c>
      <c r="G458" s="26">
        <v>96</v>
      </c>
      <c r="H458" s="4">
        <f aca="true" t="shared" si="65" ref="H458:H470">G458*70/80</f>
        <v>84</v>
      </c>
      <c r="K458" s="27">
        <v>264</v>
      </c>
      <c r="L458" s="4">
        <f aca="true" t="shared" si="66" ref="L458:L468">K458*130/150</f>
        <v>228.8</v>
      </c>
    </row>
    <row r="459" spans="4:12" ht="19.5" thickBot="1">
      <c r="D459" s="6">
        <v>0.0028</v>
      </c>
      <c r="E459" s="4">
        <f t="shared" si="64"/>
        <v>0.0024000000000000002</v>
      </c>
      <c r="G459" s="26">
        <v>111</v>
      </c>
      <c r="H459" s="4">
        <f t="shared" si="65"/>
        <v>97.125</v>
      </c>
      <c r="K459" s="27"/>
      <c r="L459" s="4">
        <f t="shared" si="66"/>
        <v>0</v>
      </c>
    </row>
    <row r="460" spans="4:12" ht="19.5" thickBot="1">
      <c r="D460" s="6">
        <v>2</v>
      </c>
      <c r="E460" s="4">
        <f t="shared" si="64"/>
        <v>1.7142857142857142</v>
      </c>
      <c r="G460" s="26">
        <v>96</v>
      </c>
      <c r="H460" s="4">
        <f t="shared" si="65"/>
        <v>84</v>
      </c>
      <c r="K460" s="27">
        <v>3</v>
      </c>
      <c r="L460" s="4">
        <f t="shared" si="66"/>
        <v>2.6</v>
      </c>
    </row>
    <row r="461" spans="4:12" ht="19.5" thickBot="1">
      <c r="D461" s="6">
        <v>0.2</v>
      </c>
      <c r="E461" s="4">
        <f t="shared" si="64"/>
        <v>0.17142857142857143</v>
      </c>
      <c r="G461" s="26">
        <v>126</v>
      </c>
      <c r="H461" s="4">
        <f t="shared" si="65"/>
        <v>110.25</v>
      </c>
      <c r="K461" s="27"/>
      <c r="L461" s="4">
        <f t="shared" si="66"/>
        <v>0</v>
      </c>
    </row>
    <row r="462" spans="4:12" ht="19.5" thickBot="1">
      <c r="D462" s="6">
        <v>70</v>
      </c>
      <c r="E462" s="4">
        <f t="shared" si="64"/>
        <v>60</v>
      </c>
      <c r="G462" s="26">
        <v>93</v>
      </c>
      <c r="H462" s="4">
        <f t="shared" si="65"/>
        <v>81.375</v>
      </c>
      <c r="K462" s="27">
        <v>27</v>
      </c>
      <c r="L462" s="4">
        <f t="shared" si="66"/>
        <v>23.4</v>
      </c>
    </row>
    <row r="463" spans="7:12" ht="19.5" thickBot="1">
      <c r="G463" s="26">
        <v>14</v>
      </c>
      <c r="H463" s="4">
        <f t="shared" si="65"/>
        <v>12.25</v>
      </c>
      <c r="K463" s="27">
        <v>28</v>
      </c>
      <c r="L463" s="4">
        <f t="shared" si="66"/>
        <v>24.266666666666666</v>
      </c>
    </row>
    <row r="464" spans="7:12" ht="19.5" thickBot="1">
      <c r="G464" s="26">
        <v>6</v>
      </c>
      <c r="H464" s="4">
        <f t="shared" si="65"/>
        <v>5.25</v>
      </c>
      <c r="K464" s="27">
        <v>15</v>
      </c>
      <c r="L464" s="4">
        <f t="shared" si="66"/>
        <v>13</v>
      </c>
    </row>
    <row r="465" spans="7:12" ht="19.5" thickBot="1">
      <c r="G465" s="26">
        <v>10</v>
      </c>
      <c r="H465" s="4">
        <f t="shared" si="65"/>
        <v>8.75</v>
      </c>
      <c r="K465" s="27">
        <v>8</v>
      </c>
      <c r="L465" s="4">
        <f t="shared" si="66"/>
        <v>6.933333333333334</v>
      </c>
    </row>
    <row r="466" spans="7:12" ht="19.5" thickBot="1">
      <c r="G466" s="26">
        <v>11</v>
      </c>
      <c r="H466" s="4">
        <f t="shared" si="65"/>
        <v>9.625</v>
      </c>
      <c r="K466" s="27">
        <v>5</v>
      </c>
      <c r="L466" s="4">
        <f t="shared" si="66"/>
        <v>4.333333333333333</v>
      </c>
    </row>
    <row r="467" spans="7:12" ht="19.5" thickBot="1">
      <c r="G467" s="26">
        <v>93</v>
      </c>
      <c r="H467" s="4">
        <f t="shared" si="65"/>
        <v>81.375</v>
      </c>
      <c r="K467" s="9">
        <v>30</v>
      </c>
      <c r="L467" s="4">
        <f t="shared" si="66"/>
        <v>26</v>
      </c>
    </row>
    <row r="468" spans="7:12" ht="19.5" thickBot="1">
      <c r="G468" s="26">
        <v>4</v>
      </c>
      <c r="H468" s="4">
        <f t="shared" si="65"/>
        <v>3.5</v>
      </c>
      <c r="K468" s="9">
        <v>150</v>
      </c>
      <c r="L468" s="4">
        <f t="shared" si="66"/>
        <v>130</v>
      </c>
    </row>
    <row r="469" spans="7:8" ht="19.5" thickBot="1">
      <c r="G469" s="26">
        <v>80</v>
      </c>
      <c r="H469" s="4">
        <f t="shared" si="65"/>
        <v>70</v>
      </c>
    </row>
    <row r="470" spans="7:8" ht="19.5" thickBot="1">
      <c r="G470" s="26">
        <v>80</v>
      </c>
      <c r="H470" s="4">
        <f t="shared" si="65"/>
        <v>70</v>
      </c>
    </row>
    <row r="476" ht="19.5" thickBot="1"/>
    <row r="477" spans="11:12" ht="19.5" thickBot="1">
      <c r="K477" s="25">
        <v>0.6</v>
      </c>
      <c r="L477" s="4">
        <f aca="true" t="shared" si="67" ref="L477:L482">K477*150/180</f>
        <v>0.5</v>
      </c>
    </row>
    <row r="478" spans="11:12" ht="19.5" thickBot="1">
      <c r="K478" s="26">
        <v>49.4</v>
      </c>
      <c r="L478" s="4">
        <f t="shared" si="67"/>
        <v>41.166666666666664</v>
      </c>
    </row>
    <row r="479" spans="6:12" ht="19.5" thickBot="1">
      <c r="F479" s="28">
        <v>20</v>
      </c>
      <c r="G479" s="4">
        <f>F479*150/200</f>
        <v>15</v>
      </c>
      <c r="K479" s="26">
        <v>50</v>
      </c>
      <c r="L479" s="4">
        <f t="shared" si="67"/>
        <v>41.666666666666664</v>
      </c>
    </row>
    <row r="480" spans="6:12" ht="19.5" thickBot="1">
      <c r="F480" s="29">
        <v>150</v>
      </c>
      <c r="G480" s="4">
        <f aca="true" t="shared" si="68" ref="G480:G485">F480*150/200</f>
        <v>112.5</v>
      </c>
      <c r="K480" s="26">
        <v>12</v>
      </c>
      <c r="L480" s="4">
        <f t="shared" si="67"/>
        <v>10</v>
      </c>
    </row>
    <row r="481" spans="6:12" ht="19.5" thickBot="1">
      <c r="F481" s="29">
        <v>36</v>
      </c>
      <c r="G481" s="4">
        <f t="shared" si="68"/>
        <v>27</v>
      </c>
      <c r="K481" s="26">
        <v>5</v>
      </c>
      <c r="L481" s="4">
        <f t="shared" si="67"/>
        <v>4.166666666666667</v>
      </c>
    </row>
    <row r="482" spans="6:12" ht="19.5" thickBot="1">
      <c r="F482" s="9">
        <v>5</v>
      </c>
      <c r="G482" s="4">
        <f t="shared" si="68"/>
        <v>3.75</v>
      </c>
      <c r="K482" s="26">
        <v>130</v>
      </c>
      <c r="L482" s="4">
        <f t="shared" si="67"/>
        <v>108.33333333333333</v>
      </c>
    </row>
    <row r="483" spans="6:7" ht="19.5" thickBot="1">
      <c r="F483" s="29">
        <v>197</v>
      </c>
      <c r="G483" s="4">
        <f t="shared" si="68"/>
        <v>147.75</v>
      </c>
    </row>
    <row r="484" spans="6:7" ht="19.5" thickBot="1">
      <c r="F484" s="29">
        <v>3</v>
      </c>
      <c r="G484" s="4">
        <f t="shared" si="68"/>
        <v>2.25</v>
      </c>
    </row>
    <row r="485" spans="6:7" ht="19.5" thickBot="1">
      <c r="F485" s="29">
        <v>200</v>
      </c>
      <c r="G485" s="4">
        <f t="shared" si="68"/>
        <v>150</v>
      </c>
    </row>
    <row r="489" ht="19.5" thickBot="1"/>
    <row r="490" spans="9:10" ht="19.5" thickBot="1">
      <c r="I490" s="30">
        <v>73</v>
      </c>
      <c r="J490" s="4">
        <f>I490*45/60</f>
        <v>54.75</v>
      </c>
    </row>
    <row r="491" spans="9:10" ht="19.5" thickBot="1">
      <c r="I491" s="27">
        <v>12</v>
      </c>
      <c r="J491" s="4">
        <f>I491*45/60</f>
        <v>9</v>
      </c>
    </row>
    <row r="492" spans="9:10" ht="19.5" thickBot="1">
      <c r="I492" s="27">
        <v>5</v>
      </c>
      <c r="J492" s="4">
        <f>I492*45/60</f>
        <v>3.75</v>
      </c>
    </row>
    <row r="493" spans="9:10" ht="19.5" thickBot="1">
      <c r="I493" s="29">
        <v>60</v>
      </c>
      <c r="J493" s="4">
        <f>I493*45/60</f>
        <v>45</v>
      </c>
    </row>
    <row r="501" ht="19.5" thickBot="1"/>
    <row r="502" spans="9:10" ht="19.5" thickBot="1">
      <c r="I502" s="14">
        <v>63</v>
      </c>
      <c r="J502" s="4">
        <f>I502*200/250</f>
        <v>50.4</v>
      </c>
    </row>
    <row r="503" spans="9:10" ht="19.5" thickBot="1">
      <c r="I503" s="15"/>
      <c r="J503" s="4">
        <f aca="true" t="shared" si="69" ref="J503:J515">I503*200/250</f>
        <v>0</v>
      </c>
    </row>
    <row r="504" spans="9:10" ht="19.5" thickBot="1">
      <c r="I504" s="15">
        <v>40</v>
      </c>
      <c r="J504" s="4">
        <f t="shared" si="69"/>
        <v>32</v>
      </c>
    </row>
    <row r="505" spans="9:10" ht="19.5" thickBot="1">
      <c r="I505" s="15">
        <v>43</v>
      </c>
      <c r="J505" s="4">
        <f t="shared" si="69"/>
        <v>34.4</v>
      </c>
    </row>
    <row r="506" spans="9:10" ht="19.5" thickBot="1">
      <c r="I506" s="15">
        <v>46</v>
      </c>
      <c r="J506" s="4">
        <f t="shared" si="69"/>
        <v>36.8</v>
      </c>
    </row>
    <row r="507" spans="9:10" ht="19.5" thickBot="1">
      <c r="I507" s="15">
        <v>50</v>
      </c>
      <c r="J507" s="4">
        <f t="shared" si="69"/>
        <v>40</v>
      </c>
    </row>
    <row r="508" spans="9:10" ht="19.5" thickBot="1">
      <c r="I508" s="15"/>
      <c r="J508" s="4">
        <f t="shared" si="69"/>
        <v>0</v>
      </c>
    </row>
    <row r="509" spans="9:10" ht="19.5" thickBot="1">
      <c r="I509" s="15">
        <v>16</v>
      </c>
      <c r="J509" s="4">
        <f t="shared" si="69"/>
        <v>12.8</v>
      </c>
    </row>
    <row r="510" spans="9:10" ht="19.5" thickBot="1">
      <c r="I510" s="15">
        <v>17</v>
      </c>
      <c r="J510" s="4">
        <f t="shared" si="69"/>
        <v>13.6</v>
      </c>
    </row>
    <row r="511" spans="9:10" ht="19.5" thickBot="1">
      <c r="I511" s="15">
        <v>13</v>
      </c>
      <c r="J511" s="4">
        <f t="shared" si="69"/>
        <v>10.4</v>
      </c>
    </row>
    <row r="512" spans="9:10" ht="19.5" thickBot="1">
      <c r="I512" s="15">
        <v>3</v>
      </c>
      <c r="J512" s="4">
        <f t="shared" si="69"/>
        <v>2.4</v>
      </c>
    </row>
    <row r="513" spans="9:10" ht="19.5" thickBot="1">
      <c r="I513" s="9">
        <v>4</v>
      </c>
      <c r="J513" s="4">
        <f t="shared" si="69"/>
        <v>3.2</v>
      </c>
    </row>
    <row r="514" spans="9:10" ht="19.5" thickBot="1">
      <c r="I514" s="9">
        <v>200</v>
      </c>
      <c r="J514" s="4">
        <f t="shared" si="69"/>
        <v>160</v>
      </c>
    </row>
    <row r="515" spans="9:10" ht="19.5" thickBot="1">
      <c r="I515" s="9">
        <v>250</v>
      </c>
      <c r="J515" s="4">
        <f t="shared" si="69"/>
        <v>200</v>
      </c>
    </row>
    <row r="519" ht="19.5" thickBot="1"/>
    <row r="520" spans="5:6" ht="19.5" thickBot="1">
      <c r="E520" s="13">
        <v>62</v>
      </c>
      <c r="F520" s="4">
        <f>E520*80/100</f>
        <v>49.6</v>
      </c>
    </row>
    <row r="521" spans="5:14" ht="19.5" thickBot="1">
      <c r="E521" s="9">
        <v>38</v>
      </c>
      <c r="F521" s="4">
        <f aca="true" t="shared" si="70" ref="F521:F526">E521*80/100</f>
        <v>30.4</v>
      </c>
      <c r="I521" s="30">
        <v>113</v>
      </c>
      <c r="J521" s="4">
        <f>I521*60/100</f>
        <v>67.8</v>
      </c>
      <c r="M521" s="5">
        <v>27</v>
      </c>
      <c r="N521" s="4">
        <f>M521*60/70</f>
        <v>23.142857142857142</v>
      </c>
    </row>
    <row r="522" spans="5:14" ht="19.5" thickBot="1">
      <c r="E522" s="9">
        <v>100</v>
      </c>
      <c r="F522" s="4">
        <f t="shared" si="70"/>
        <v>80</v>
      </c>
      <c r="I522" s="27">
        <v>91</v>
      </c>
      <c r="J522" s="4">
        <f aca="true" t="shared" si="71" ref="J522:J531">I522*60/100</f>
        <v>54.6</v>
      </c>
      <c r="M522" s="6">
        <v>35</v>
      </c>
      <c r="N522" s="4">
        <f aca="true" t="shared" si="72" ref="N522:N527">M522*60/70</f>
        <v>30</v>
      </c>
    </row>
    <row r="523" spans="5:14" ht="19.5" thickBot="1">
      <c r="E523" s="9">
        <v>4</v>
      </c>
      <c r="F523" s="4">
        <f t="shared" si="70"/>
        <v>3.2</v>
      </c>
      <c r="I523" s="27">
        <v>5</v>
      </c>
      <c r="J523" s="4">
        <f t="shared" si="71"/>
        <v>3</v>
      </c>
      <c r="M523" s="6">
        <v>3</v>
      </c>
      <c r="N523" s="4">
        <f t="shared" si="72"/>
        <v>2.5714285714285716</v>
      </c>
    </row>
    <row r="524" spans="5:14" ht="19.5" thickBot="1">
      <c r="E524" s="9">
        <v>97</v>
      </c>
      <c r="F524" s="4">
        <f t="shared" si="70"/>
        <v>77.6</v>
      </c>
      <c r="I524" s="27">
        <v>5</v>
      </c>
      <c r="J524" s="4">
        <f t="shared" si="71"/>
        <v>3</v>
      </c>
      <c r="M524" s="6">
        <v>10</v>
      </c>
      <c r="N524" s="4">
        <f t="shared" si="72"/>
        <v>8.571428571428571</v>
      </c>
    </row>
    <row r="525" spans="5:14" ht="19.5" thickBot="1">
      <c r="E525" s="9">
        <v>3</v>
      </c>
      <c r="F525" s="4">
        <f t="shared" si="70"/>
        <v>2.4</v>
      </c>
      <c r="I525" s="27"/>
      <c r="J525" s="4">
        <f t="shared" si="71"/>
        <v>0</v>
      </c>
      <c r="M525" s="6">
        <v>10</v>
      </c>
      <c r="N525" s="4">
        <f t="shared" si="72"/>
        <v>8.571428571428571</v>
      </c>
    </row>
    <row r="526" spans="5:14" ht="19.5" thickBot="1">
      <c r="E526" s="9">
        <v>100</v>
      </c>
      <c r="F526" s="4">
        <f t="shared" si="70"/>
        <v>80</v>
      </c>
      <c r="I526" s="27">
        <v>5</v>
      </c>
      <c r="J526" s="4">
        <f t="shared" si="71"/>
        <v>3</v>
      </c>
      <c r="M526" s="6">
        <v>85</v>
      </c>
      <c r="N526" s="4">
        <f t="shared" si="72"/>
        <v>72.85714285714286</v>
      </c>
    </row>
    <row r="527" spans="9:14" ht="19.5" thickBot="1">
      <c r="I527" s="27">
        <v>5.3</v>
      </c>
      <c r="J527" s="4">
        <f t="shared" si="71"/>
        <v>3.18</v>
      </c>
      <c r="M527" s="6">
        <v>70</v>
      </c>
      <c r="N527" s="4">
        <f t="shared" si="72"/>
        <v>60</v>
      </c>
    </row>
    <row r="528" spans="5:10" ht="19.5" thickBot="1">
      <c r="E528" s="25">
        <v>100</v>
      </c>
      <c r="F528" s="4">
        <f>E528*45/60</f>
        <v>75</v>
      </c>
      <c r="I528" s="27">
        <v>7</v>
      </c>
      <c r="J528" s="4">
        <f t="shared" si="71"/>
        <v>4.2</v>
      </c>
    </row>
    <row r="529" spans="5:10" ht="19.5" thickBot="1">
      <c r="E529" s="6">
        <v>60</v>
      </c>
      <c r="F529" s="4">
        <f>E529*45/60</f>
        <v>45</v>
      </c>
      <c r="I529" s="27">
        <v>2</v>
      </c>
      <c r="J529" s="4">
        <f t="shared" si="71"/>
        <v>1.2</v>
      </c>
    </row>
    <row r="530" spans="5:10" ht="19.5" thickBot="1">
      <c r="E530" s="26">
        <v>60</v>
      </c>
      <c r="F530" s="4">
        <f>E530*45/60</f>
        <v>45</v>
      </c>
      <c r="I530" s="29">
        <v>50</v>
      </c>
      <c r="J530" s="4">
        <f t="shared" si="71"/>
        <v>30</v>
      </c>
    </row>
    <row r="531" spans="9:10" ht="19.5" thickBot="1">
      <c r="I531" s="29">
        <v>50</v>
      </c>
      <c r="J531" s="4">
        <f t="shared" si="71"/>
        <v>30</v>
      </c>
    </row>
    <row r="533" ht="19.5" thickBot="1"/>
    <row r="534" spans="8:12" ht="19.5" thickBot="1">
      <c r="H534" s="13">
        <v>154</v>
      </c>
      <c r="I534" s="4">
        <f aca="true" t="shared" si="73" ref="I534:I539">H534*150/200</f>
        <v>115.5</v>
      </c>
      <c r="K534" s="14">
        <v>202</v>
      </c>
      <c r="L534" s="4">
        <f>K534*70/80</f>
        <v>176.75</v>
      </c>
    </row>
    <row r="535" spans="8:12" ht="19.5" thickBot="1">
      <c r="H535" s="9">
        <v>30</v>
      </c>
      <c r="I535" s="4">
        <f t="shared" si="73"/>
        <v>22.5</v>
      </c>
      <c r="K535" s="15">
        <v>169</v>
      </c>
      <c r="L535" s="4">
        <f aca="true" t="shared" si="74" ref="L535:L543">K535*70/80</f>
        <v>147.875</v>
      </c>
    </row>
    <row r="536" spans="8:12" ht="19.5" thickBot="1">
      <c r="H536" s="9">
        <v>16</v>
      </c>
      <c r="I536" s="4">
        <f t="shared" si="73"/>
        <v>12</v>
      </c>
      <c r="K536" s="15">
        <v>194</v>
      </c>
      <c r="L536" s="4">
        <f t="shared" si="74"/>
        <v>169.75</v>
      </c>
    </row>
    <row r="537" spans="8:12" ht="19.5" thickBot="1">
      <c r="H537" s="9">
        <v>1</v>
      </c>
      <c r="I537" s="4">
        <f t="shared" si="73"/>
        <v>0.75</v>
      </c>
      <c r="K537" s="15">
        <v>169</v>
      </c>
      <c r="L537" s="4">
        <f t="shared" si="74"/>
        <v>147.875</v>
      </c>
    </row>
    <row r="538" spans="8:12" ht="19.5" thickBot="1">
      <c r="H538" s="9">
        <v>2</v>
      </c>
      <c r="I538" s="4">
        <f t="shared" si="73"/>
        <v>1.5</v>
      </c>
      <c r="K538" s="15">
        <v>222</v>
      </c>
      <c r="L538" s="4">
        <f t="shared" si="74"/>
        <v>194.25</v>
      </c>
    </row>
    <row r="539" spans="8:12" ht="19.5" thickBot="1">
      <c r="H539" s="9">
        <v>200</v>
      </c>
      <c r="I539" s="4">
        <f t="shared" si="73"/>
        <v>150</v>
      </c>
      <c r="K539" s="15">
        <v>164</v>
      </c>
      <c r="L539" s="4">
        <f t="shared" si="74"/>
        <v>143.5</v>
      </c>
    </row>
    <row r="540" spans="11:12" ht="19.5" thickBot="1">
      <c r="K540" s="27">
        <v>8</v>
      </c>
      <c r="L540" s="4">
        <f t="shared" si="74"/>
        <v>7</v>
      </c>
    </row>
    <row r="541" spans="11:12" ht="19.5" thickBot="1">
      <c r="K541" s="27">
        <v>8</v>
      </c>
      <c r="L541" s="4">
        <f t="shared" si="74"/>
        <v>7</v>
      </c>
    </row>
    <row r="542" spans="11:12" ht="19.5" thickBot="1">
      <c r="K542" s="29">
        <v>80</v>
      </c>
      <c r="L542" s="4">
        <f t="shared" si="74"/>
        <v>70</v>
      </c>
    </row>
    <row r="543" spans="6:12" ht="19.5" thickBot="1">
      <c r="F543" s="14">
        <v>114</v>
      </c>
      <c r="G543" s="4">
        <f>F543*200/250</f>
        <v>91.2</v>
      </c>
      <c r="K543" s="29">
        <v>80</v>
      </c>
      <c r="L543" s="4">
        <f t="shared" si="74"/>
        <v>70</v>
      </c>
    </row>
    <row r="544" spans="6:7" ht="19.5" thickBot="1">
      <c r="F544" s="15">
        <v>123</v>
      </c>
      <c r="G544" s="4">
        <f aca="true" t="shared" si="75" ref="G544:G561">F544*200/250</f>
        <v>98.4</v>
      </c>
    </row>
    <row r="545" spans="6:7" ht="19.5" thickBot="1">
      <c r="F545" s="15">
        <v>132</v>
      </c>
      <c r="G545" s="4">
        <f t="shared" si="75"/>
        <v>105.6</v>
      </c>
    </row>
    <row r="546" spans="6:7" ht="19.5" thickBot="1">
      <c r="F546" s="15">
        <v>144</v>
      </c>
      <c r="G546" s="4">
        <f t="shared" si="75"/>
        <v>115.2</v>
      </c>
    </row>
    <row r="547" spans="6:7" ht="19.5" thickBot="1">
      <c r="F547" s="15"/>
      <c r="G547" s="4">
        <f t="shared" si="75"/>
        <v>0</v>
      </c>
    </row>
    <row r="548" spans="6:7" ht="19.5" thickBot="1">
      <c r="F548" s="15">
        <v>11</v>
      </c>
      <c r="G548" s="4">
        <f t="shared" si="75"/>
        <v>8.8</v>
      </c>
    </row>
    <row r="549" spans="6:7" ht="19.5" thickBot="1">
      <c r="F549" s="15">
        <v>12</v>
      </c>
      <c r="G549" s="4">
        <f t="shared" si="75"/>
        <v>9.6</v>
      </c>
    </row>
    <row r="550" spans="6:10" ht="19.5" thickBot="1">
      <c r="F550" s="15">
        <v>5</v>
      </c>
      <c r="G550" s="4">
        <f t="shared" si="75"/>
        <v>4</v>
      </c>
      <c r="I550" s="30">
        <v>140</v>
      </c>
      <c r="J550" s="4">
        <f>I550*60/70</f>
        <v>120</v>
      </c>
    </row>
    <row r="551" spans="6:10" ht="19.5" thickBot="1">
      <c r="F551" s="15">
        <v>2</v>
      </c>
      <c r="G551" s="4">
        <f t="shared" si="75"/>
        <v>1.6</v>
      </c>
      <c r="I551" s="27">
        <v>129</v>
      </c>
      <c r="J551" s="4">
        <f aca="true" t="shared" si="76" ref="J551:J562">I551*60/70</f>
        <v>110.57142857142857</v>
      </c>
    </row>
    <row r="552" spans="6:10" ht="19.5" thickBot="1">
      <c r="F552" s="15">
        <v>151</v>
      </c>
      <c r="G552" s="4">
        <f t="shared" si="75"/>
        <v>120.8</v>
      </c>
      <c r="I552" s="27">
        <v>114</v>
      </c>
      <c r="J552" s="4">
        <f t="shared" si="76"/>
        <v>97.71428571428571</v>
      </c>
    </row>
    <row r="553" spans="6:10" ht="19.5" thickBot="1">
      <c r="F553" s="27"/>
      <c r="G553" s="4">
        <f t="shared" si="75"/>
        <v>0</v>
      </c>
      <c r="I553" s="27"/>
      <c r="J553" s="4">
        <f t="shared" si="76"/>
        <v>0</v>
      </c>
    </row>
    <row r="554" spans="6:10" ht="19.5" thickBot="1">
      <c r="F554" s="27"/>
      <c r="G554" s="4">
        <f t="shared" si="75"/>
        <v>0</v>
      </c>
      <c r="I554" s="27"/>
      <c r="J554" s="4">
        <f t="shared" si="76"/>
        <v>0</v>
      </c>
    </row>
    <row r="555" spans="6:10" ht="19.5" thickBot="1">
      <c r="F555" s="27"/>
      <c r="G555" s="4">
        <f t="shared" si="75"/>
        <v>0</v>
      </c>
      <c r="I555" s="27">
        <v>15</v>
      </c>
      <c r="J555" s="4">
        <f t="shared" si="76"/>
        <v>12.857142857142858</v>
      </c>
    </row>
    <row r="556" spans="6:10" ht="19.5" thickBot="1">
      <c r="F556" s="27">
        <v>54</v>
      </c>
      <c r="G556" s="4">
        <f t="shared" si="75"/>
        <v>43.2</v>
      </c>
      <c r="I556" s="27">
        <v>3</v>
      </c>
      <c r="J556" s="4">
        <f t="shared" si="76"/>
        <v>2.5714285714285716</v>
      </c>
    </row>
    <row r="557" spans="6:10" ht="19.5" thickBot="1">
      <c r="F557" s="27">
        <v>5</v>
      </c>
      <c r="G557" s="4">
        <f t="shared" si="75"/>
        <v>4</v>
      </c>
      <c r="I557" s="27">
        <v>3</v>
      </c>
      <c r="J557" s="4">
        <f t="shared" si="76"/>
        <v>2.5714285714285716</v>
      </c>
    </row>
    <row r="558" spans="6:10" ht="19.5" thickBot="1">
      <c r="F558" s="27">
        <v>4</v>
      </c>
      <c r="G558" s="4">
        <f t="shared" si="75"/>
        <v>3.2</v>
      </c>
      <c r="I558" s="27">
        <v>3</v>
      </c>
      <c r="J558" s="4">
        <f t="shared" si="76"/>
        <v>2.5714285714285716</v>
      </c>
    </row>
    <row r="559" spans="6:10" ht="19.5" thickBot="1">
      <c r="F559" s="9">
        <v>3</v>
      </c>
      <c r="G559" s="4">
        <f t="shared" si="75"/>
        <v>2.4</v>
      </c>
      <c r="I559" s="29">
        <v>75</v>
      </c>
      <c r="J559" s="4">
        <f t="shared" si="76"/>
        <v>64.28571428571429</v>
      </c>
    </row>
    <row r="560" spans="6:10" ht="19.5" thickBot="1">
      <c r="F560" s="9">
        <v>47</v>
      </c>
      <c r="G560" s="4">
        <f t="shared" si="75"/>
        <v>37.6</v>
      </c>
      <c r="I560" s="29">
        <v>1</v>
      </c>
      <c r="J560" s="4">
        <f t="shared" si="76"/>
        <v>0.8571428571428571</v>
      </c>
    </row>
    <row r="561" spans="6:10" ht="19.5" thickBot="1">
      <c r="F561" s="9">
        <v>35</v>
      </c>
      <c r="G561" s="4">
        <f t="shared" si="75"/>
        <v>28</v>
      </c>
      <c r="I561" s="29">
        <v>70</v>
      </c>
      <c r="J561" s="4">
        <f t="shared" si="76"/>
        <v>60</v>
      </c>
    </row>
    <row r="562" spans="9:13" ht="19.5" thickBot="1">
      <c r="I562" s="29">
        <v>5</v>
      </c>
      <c r="J562" s="4">
        <f t="shared" si="76"/>
        <v>4.285714285714286</v>
      </c>
      <c r="L562" s="5">
        <v>28</v>
      </c>
      <c r="M562" s="4">
        <f>L562*60/70</f>
        <v>24</v>
      </c>
    </row>
    <row r="563" spans="12:13" ht="19.5" thickBot="1">
      <c r="L563" s="6">
        <v>2</v>
      </c>
      <c r="M563" s="4">
        <f aca="true" t="shared" si="77" ref="M563:M573">L563*60/70</f>
        <v>1.7142857142857142</v>
      </c>
    </row>
    <row r="564" spans="12:13" ht="19.5" thickBot="1">
      <c r="L564" s="6">
        <v>3</v>
      </c>
      <c r="M564" s="4">
        <f t="shared" si="77"/>
        <v>2.5714285714285716</v>
      </c>
    </row>
    <row r="565" spans="12:13" ht="19.5" thickBot="1">
      <c r="L565" s="6">
        <v>3</v>
      </c>
      <c r="M565" s="4">
        <f t="shared" si="77"/>
        <v>2.5714285714285716</v>
      </c>
    </row>
    <row r="566" spans="12:13" ht="19.5" thickBot="1">
      <c r="L566" s="6">
        <v>1</v>
      </c>
      <c r="M566" s="4">
        <f t="shared" si="77"/>
        <v>0.8571428571428571</v>
      </c>
    </row>
    <row r="567" spans="12:13" ht="19.5" thickBot="1">
      <c r="L567" s="6">
        <v>7</v>
      </c>
      <c r="M567" s="4">
        <f t="shared" si="77"/>
        <v>6</v>
      </c>
    </row>
    <row r="568" spans="5:13" ht="19.5" thickBot="1">
      <c r="E568" s="30">
        <v>49</v>
      </c>
      <c r="F568" s="4">
        <f>E568*31/36</f>
        <v>42.19444444444444</v>
      </c>
      <c r="L568" s="6">
        <v>44</v>
      </c>
      <c r="M568" s="4">
        <f t="shared" si="77"/>
        <v>37.714285714285715</v>
      </c>
    </row>
    <row r="569" spans="5:13" ht="19.5" thickBot="1">
      <c r="E569" s="27">
        <v>52</v>
      </c>
      <c r="F569" s="4">
        <f aca="true" t="shared" si="78" ref="F569:F575">E569*31/36</f>
        <v>44.77777777777778</v>
      </c>
      <c r="L569" s="6">
        <v>1</v>
      </c>
      <c r="M569" s="4">
        <f t="shared" si="77"/>
        <v>0.8571428571428571</v>
      </c>
    </row>
    <row r="570" spans="5:13" ht="19.5" thickBot="1">
      <c r="E570" s="9">
        <v>36</v>
      </c>
      <c r="F570" s="4">
        <f t="shared" si="78"/>
        <v>31</v>
      </c>
      <c r="L570" s="6">
        <v>36</v>
      </c>
      <c r="M570" s="4">
        <f t="shared" si="77"/>
        <v>30.857142857142858</v>
      </c>
    </row>
    <row r="571" spans="5:13" ht="19.5" thickBot="1">
      <c r="E571" s="9">
        <v>1</v>
      </c>
      <c r="F571" s="4">
        <f t="shared" si="78"/>
        <v>0.8611111111111112</v>
      </c>
      <c r="L571" s="6">
        <v>0.3</v>
      </c>
      <c r="M571" s="4">
        <f t="shared" si="77"/>
        <v>0.2571428571428571</v>
      </c>
    </row>
    <row r="572" spans="5:13" ht="19.5" thickBot="1">
      <c r="E572" s="9">
        <v>1</v>
      </c>
      <c r="F572" s="4">
        <f t="shared" si="78"/>
        <v>0.8611111111111112</v>
      </c>
      <c r="L572" s="6">
        <v>1</v>
      </c>
      <c r="M572" s="4">
        <f t="shared" si="77"/>
        <v>0.8571428571428571</v>
      </c>
    </row>
    <row r="573" spans="5:13" ht="19.5" thickBot="1">
      <c r="E573" s="9">
        <v>36</v>
      </c>
      <c r="F573" s="4">
        <f t="shared" si="78"/>
        <v>31</v>
      </c>
      <c r="L573" s="6">
        <v>70</v>
      </c>
      <c r="M573" s="4">
        <f t="shared" si="77"/>
        <v>60</v>
      </c>
    </row>
    <row r="574" spans="5:9" ht="19.5" thickBot="1">
      <c r="E574" s="9">
        <v>1</v>
      </c>
      <c r="F574" s="4">
        <f t="shared" si="78"/>
        <v>0.8611111111111112</v>
      </c>
      <c r="H574" s="5">
        <v>146</v>
      </c>
      <c r="I574" s="4">
        <f>H574*70/80</f>
        <v>127.75</v>
      </c>
    </row>
    <row r="575" spans="5:9" ht="19.5" thickBot="1">
      <c r="E575" s="9">
        <v>36</v>
      </c>
      <c r="F575" s="4">
        <f t="shared" si="78"/>
        <v>31</v>
      </c>
      <c r="H575" s="6">
        <v>122</v>
      </c>
      <c r="I575" s="4">
        <f aca="true" t="shared" si="79" ref="I575:I586">H575*70/80</f>
        <v>106.75</v>
      </c>
    </row>
    <row r="576" spans="8:9" ht="19.5" thickBot="1">
      <c r="H576" s="6">
        <v>140</v>
      </c>
      <c r="I576" s="4">
        <f t="shared" si="79"/>
        <v>122.5</v>
      </c>
    </row>
    <row r="577" spans="8:13" ht="19.5" thickBot="1">
      <c r="H577" s="6">
        <v>121</v>
      </c>
      <c r="I577" s="4">
        <f t="shared" si="79"/>
        <v>105.875</v>
      </c>
      <c r="L577" s="13">
        <v>25</v>
      </c>
      <c r="M577" s="4">
        <f>L577*150/200</f>
        <v>18.75</v>
      </c>
    </row>
    <row r="578" spans="4:13" ht="19.5" thickBot="1">
      <c r="D578" s="5">
        <v>100</v>
      </c>
      <c r="E578" s="4">
        <f>D578*200/250</f>
        <v>80</v>
      </c>
      <c r="H578" s="6">
        <v>160</v>
      </c>
      <c r="I578" s="4">
        <f t="shared" si="79"/>
        <v>140</v>
      </c>
      <c r="L578" s="9">
        <v>150</v>
      </c>
      <c r="M578" s="4">
        <f aca="true" t="shared" si="80" ref="M578:M583">L578*150/200</f>
        <v>112.5</v>
      </c>
    </row>
    <row r="579" spans="4:13" ht="19.5" thickBot="1">
      <c r="D579" s="6">
        <v>107</v>
      </c>
      <c r="E579" s="4">
        <f aca="true" t="shared" si="81" ref="E579:E591">D579*200/250</f>
        <v>85.6</v>
      </c>
      <c r="H579" s="6">
        <v>118</v>
      </c>
      <c r="I579" s="4">
        <f t="shared" si="79"/>
        <v>103.25</v>
      </c>
      <c r="L579" s="9">
        <v>35</v>
      </c>
      <c r="M579" s="4">
        <f t="shared" si="80"/>
        <v>26.25</v>
      </c>
    </row>
    <row r="580" spans="4:13" ht="19.5" thickBot="1">
      <c r="D580" s="6">
        <v>116</v>
      </c>
      <c r="E580" s="4">
        <f t="shared" si="81"/>
        <v>92.8</v>
      </c>
      <c r="H580" s="26">
        <v>4</v>
      </c>
      <c r="I580" s="4">
        <f t="shared" si="79"/>
        <v>3.5</v>
      </c>
      <c r="L580" s="9">
        <v>5</v>
      </c>
      <c r="M580" s="4">
        <f t="shared" si="80"/>
        <v>3.75</v>
      </c>
    </row>
    <row r="581" spans="4:13" ht="19.5" thickBot="1">
      <c r="D581" s="6">
        <v>125</v>
      </c>
      <c r="E581" s="4">
        <f t="shared" si="81"/>
        <v>100</v>
      </c>
      <c r="H581" s="26">
        <v>20</v>
      </c>
      <c r="I581" s="4">
        <f t="shared" si="79"/>
        <v>17.5</v>
      </c>
      <c r="L581" s="9">
        <v>197</v>
      </c>
      <c r="M581" s="4">
        <f t="shared" si="80"/>
        <v>147.75</v>
      </c>
    </row>
    <row r="582" spans="4:13" ht="19.5" thickBot="1">
      <c r="D582" s="6">
        <v>10</v>
      </c>
      <c r="E582" s="4">
        <f t="shared" si="81"/>
        <v>8</v>
      </c>
      <c r="H582" s="26">
        <v>7</v>
      </c>
      <c r="I582" s="4">
        <f t="shared" si="79"/>
        <v>6.125</v>
      </c>
      <c r="L582" s="9">
        <v>3</v>
      </c>
      <c r="M582" s="4">
        <f t="shared" si="80"/>
        <v>2.25</v>
      </c>
    </row>
    <row r="583" spans="4:13" ht="19.5" thickBot="1">
      <c r="D583" s="6"/>
      <c r="E583" s="4">
        <f t="shared" si="81"/>
        <v>0</v>
      </c>
      <c r="H583" s="26">
        <v>2</v>
      </c>
      <c r="I583" s="4">
        <f t="shared" si="79"/>
        <v>1.75</v>
      </c>
      <c r="L583" s="9">
        <v>200</v>
      </c>
      <c r="M583" s="4">
        <f t="shared" si="80"/>
        <v>150</v>
      </c>
    </row>
    <row r="584" spans="4:9" ht="19.5" thickBot="1">
      <c r="D584" s="6">
        <v>12.5</v>
      </c>
      <c r="E584" s="4">
        <f t="shared" si="81"/>
        <v>10</v>
      </c>
      <c r="H584" s="26">
        <v>26</v>
      </c>
      <c r="I584" s="4">
        <f t="shared" si="79"/>
        <v>22.75</v>
      </c>
    </row>
    <row r="585" spans="4:9" ht="19.5" thickBot="1">
      <c r="D585" s="6">
        <v>13.3</v>
      </c>
      <c r="E585" s="4">
        <f t="shared" si="81"/>
        <v>10.64</v>
      </c>
      <c r="H585" s="26">
        <v>86</v>
      </c>
      <c r="I585" s="4">
        <f t="shared" si="79"/>
        <v>75.25</v>
      </c>
    </row>
    <row r="586" spans="4:14" ht="19.5" thickBot="1">
      <c r="D586" s="6">
        <v>12</v>
      </c>
      <c r="E586" s="4">
        <f t="shared" si="81"/>
        <v>9.6</v>
      </c>
      <c r="H586" s="26">
        <v>80</v>
      </c>
      <c r="I586" s="4">
        <f t="shared" si="79"/>
        <v>70</v>
      </c>
      <c r="M586" s="14">
        <v>67</v>
      </c>
      <c r="N586" s="4">
        <f>M586*200/250</f>
        <v>53.6</v>
      </c>
    </row>
    <row r="587" spans="4:14" ht="19.5" thickBot="1">
      <c r="D587" s="6">
        <v>3</v>
      </c>
      <c r="E587" s="4">
        <f t="shared" si="81"/>
        <v>2.4</v>
      </c>
      <c r="M587" s="15">
        <v>72</v>
      </c>
      <c r="N587" s="4">
        <f aca="true" t="shared" si="82" ref="N587:N600">M587*200/250</f>
        <v>57.6</v>
      </c>
    </row>
    <row r="588" spans="4:14" ht="19.5" thickBot="1">
      <c r="D588" s="6">
        <v>4</v>
      </c>
      <c r="E588" s="4">
        <f t="shared" si="81"/>
        <v>3.2</v>
      </c>
      <c r="I588" s="14">
        <v>45</v>
      </c>
      <c r="J588" s="4">
        <f>I588*10/15</f>
        <v>30</v>
      </c>
      <c r="M588" s="15">
        <v>77</v>
      </c>
      <c r="N588" s="4">
        <f t="shared" si="82"/>
        <v>61.6</v>
      </c>
    </row>
    <row r="589" spans="4:14" ht="19.5" thickBot="1">
      <c r="D589" s="6">
        <v>4</v>
      </c>
      <c r="E589" s="4">
        <f t="shared" si="81"/>
        <v>3.2</v>
      </c>
      <c r="I589" s="15">
        <v>41</v>
      </c>
      <c r="J589" s="4">
        <f>I589*10/15</f>
        <v>27.333333333333332</v>
      </c>
      <c r="M589" s="15">
        <v>84</v>
      </c>
      <c r="N589" s="4">
        <f t="shared" si="82"/>
        <v>67.2</v>
      </c>
    </row>
    <row r="590" spans="4:14" ht="19.5" thickBot="1">
      <c r="D590" s="6">
        <v>188</v>
      </c>
      <c r="E590" s="4">
        <f t="shared" si="81"/>
        <v>150.4</v>
      </c>
      <c r="I590" s="15">
        <v>36</v>
      </c>
      <c r="J590" s="4">
        <f>I590*10/15</f>
        <v>24</v>
      </c>
      <c r="M590" s="15">
        <v>21</v>
      </c>
      <c r="N590" s="4">
        <f t="shared" si="82"/>
        <v>16.8</v>
      </c>
    </row>
    <row r="591" spans="4:14" ht="19.5" thickBot="1">
      <c r="D591" s="6">
        <v>250</v>
      </c>
      <c r="E591" s="4">
        <f t="shared" si="81"/>
        <v>200</v>
      </c>
      <c r="M591" s="15">
        <v>21</v>
      </c>
      <c r="N591" s="4">
        <f t="shared" si="82"/>
        <v>16.8</v>
      </c>
    </row>
    <row r="592" spans="6:14" ht="19.5" thickBot="1">
      <c r="F592" s="5">
        <v>140</v>
      </c>
      <c r="G592" s="4">
        <f>F592*60/80</f>
        <v>105</v>
      </c>
      <c r="M592" s="15">
        <v>20</v>
      </c>
      <c r="N592" s="4">
        <f t="shared" si="82"/>
        <v>16</v>
      </c>
    </row>
    <row r="593" spans="6:14" ht="19.5" thickBot="1">
      <c r="F593" s="6">
        <v>129</v>
      </c>
      <c r="G593" s="4">
        <f aca="true" t="shared" si="83" ref="G593:G606">F593*60/80</f>
        <v>96.75</v>
      </c>
      <c r="M593" s="15">
        <v>31</v>
      </c>
      <c r="N593" s="4">
        <f t="shared" si="82"/>
        <v>24.8</v>
      </c>
    </row>
    <row r="594" spans="6:14" ht="19.5" thickBot="1">
      <c r="F594" s="6">
        <v>114</v>
      </c>
      <c r="G594" s="4">
        <f t="shared" si="83"/>
        <v>85.5</v>
      </c>
      <c r="M594" s="15"/>
      <c r="N594" s="4">
        <f t="shared" si="82"/>
        <v>0</v>
      </c>
    </row>
    <row r="595" spans="6:14" ht="19.5" thickBot="1">
      <c r="F595" s="6"/>
      <c r="G595" s="4">
        <f t="shared" si="83"/>
        <v>0</v>
      </c>
      <c r="M595" s="15">
        <v>16</v>
      </c>
      <c r="N595" s="4">
        <f t="shared" si="82"/>
        <v>12.8</v>
      </c>
    </row>
    <row r="596" spans="6:14" ht="19.5" thickBot="1">
      <c r="F596" s="6">
        <v>3</v>
      </c>
      <c r="G596" s="4">
        <f t="shared" si="83"/>
        <v>2.25</v>
      </c>
      <c r="M596" s="15">
        <v>17</v>
      </c>
      <c r="N596" s="4">
        <f t="shared" si="82"/>
        <v>13.6</v>
      </c>
    </row>
    <row r="597" spans="6:14" ht="19.5" thickBot="1">
      <c r="F597" s="6">
        <v>6</v>
      </c>
      <c r="G597" s="4">
        <f t="shared" si="83"/>
        <v>4.5</v>
      </c>
      <c r="M597" s="15">
        <v>12</v>
      </c>
      <c r="N597" s="4">
        <f t="shared" si="82"/>
        <v>9.6</v>
      </c>
    </row>
    <row r="598" spans="6:14" ht="19.5" thickBot="1">
      <c r="F598" s="6">
        <v>6</v>
      </c>
      <c r="G598" s="4">
        <f t="shared" si="83"/>
        <v>4.5</v>
      </c>
      <c r="M598" s="15">
        <v>4</v>
      </c>
      <c r="N598" s="4">
        <f t="shared" si="82"/>
        <v>3.2</v>
      </c>
    </row>
    <row r="599" spans="6:14" ht="19.5" thickBot="1">
      <c r="F599" s="6">
        <v>1</v>
      </c>
      <c r="G599" s="4">
        <f t="shared" si="83"/>
        <v>0.75</v>
      </c>
      <c r="M599" s="27">
        <v>175</v>
      </c>
      <c r="N599" s="4">
        <f t="shared" si="82"/>
        <v>140</v>
      </c>
    </row>
    <row r="600" spans="6:14" ht="19.5" thickBot="1">
      <c r="F600" s="6">
        <v>0.8</v>
      </c>
      <c r="G600" s="4">
        <f t="shared" si="83"/>
        <v>0.6</v>
      </c>
      <c r="I600" s="5">
        <v>90</v>
      </c>
      <c r="J600" s="4">
        <f>I600*100/120</f>
        <v>75</v>
      </c>
      <c r="M600" s="29">
        <v>250</v>
      </c>
      <c r="N600" s="4">
        <f t="shared" si="82"/>
        <v>200</v>
      </c>
    </row>
    <row r="601" spans="6:10" ht="19.5" thickBot="1">
      <c r="F601" s="6">
        <v>3</v>
      </c>
      <c r="G601" s="4">
        <f t="shared" si="83"/>
        <v>2.25</v>
      </c>
      <c r="I601" s="6">
        <v>9</v>
      </c>
      <c r="J601" s="4">
        <f aca="true" t="shared" si="84" ref="J601:J607">I601*100/120</f>
        <v>7.5</v>
      </c>
    </row>
    <row r="602" spans="6:10" ht="19.5" thickBot="1">
      <c r="F602" s="6"/>
      <c r="G602" s="4">
        <f t="shared" si="83"/>
        <v>0</v>
      </c>
      <c r="I602" s="6">
        <v>12</v>
      </c>
      <c r="J602" s="4">
        <f t="shared" si="84"/>
        <v>10</v>
      </c>
    </row>
    <row r="603" spans="6:10" ht="19.5" thickBot="1">
      <c r="F603" s="6">
        <v>8.8</v>
      </c>
      <c r="G603" s="4">
        <f t="shared" si="83"/>
        <v>6.6</v>
      </c>
      <c r="I603" s="6">
        <v>10</v>
      </c>
      <c r="J603" s="4">
        <f t="shared" si="84"/>
        <v>8.333333333333334</v>
      </c>
    </row>
    <row r="604" spans="6:10" ht="19.5" thickBot="1">
      <c r="F604" s="6">
        <v>9.3</v>
      </c>
      <c r="G604" s="4">
        <f t="shared" si="83"/>
        <v>6.975</v>
      </c>
      <c r="I604" s="6">
        <v>10</v>
      </c>
      <c r="J604" s="4">
        <f t="shared" si="84"/>
        <v>8.333333333333334</v>
      </c>
    </row>
    <row r="605" spans="6:10" ht="19.5" thickBot="1">
      <c r="F605" s="6">
        <v>31</v>
      </c>
      <c r="G605" s="4">
        <f t="shared" si="83"/>
        <v>23.25</v>
      </c>
      <c r="I605" s="6">
        <v>3</v>
      </c>
      <c r="J605" s="4">
        <f t="shared" si="84"/>
        <v>2.5</v>
      </c>
    </row>
    <row r="606" spans="6:10" ht="19.5" thickBot="1">
      <c r="F606" s="6">
        <v>80</v>
      </c>
      <c r="G606" s="4">
        <f t="shared" si="83"/>
        <v>60</v>
      </c>
      <c r="I606" s="6">
        <v>134</v>
      </c>
      <c r="J606" s="4">
        <f t="shared" si="84"/>
        <v>111.66666666666667</v>
      </c>
    </row>
    <row r="607" spans="9:10" ht="19.5" thickBot="1">
      <c r="I607" s="6">
        <v>120</v>
      </c>
      <c r="J607" s="4">
        <f t="shared" si="84"/>
        <v>100</v>
      </c>
    </row>
    <row r="608" spans="8:9" ht="19.5" thickBot="1">
      <c r="H608" s="13">
        <v>20</v>
      </c>
      <c r="I608" s="4">
        <f>H608*150/200</f>
        <v>15</v>
      </c>
    </row>
    <row r="609" spans="8:9" ht="19.5" thickBot="1">
      <c r="H609" s="9">
        <v>150</v>
      </c>
      <c r="I609" s="4">
        <f aca="true" t="shared" si="85" ref="I609:I614">H609*150/200</f>
        <v>112.5</v>
      </c>
    </row>
    <row r="610" spans="8:9" ht="19.5" thickBot="1">
      <c r="H610" s="9">
        <v>36</v>
      </c>
      <c r="I610" s="4">
        <f t="shared" si="85"/>
        <v>27</v>
      </c>
    </row>
    <row r="611" spans="8:9" ht="19.5" thickBot="1">
      <c r="H611" s="9">
        <v>5</v>
      </c>
      <c r="I611" s="4">
        <f t="shared" si="85"/>
        <v>3.75</v>
      </c>
    </row>
    <row r="612" spans="8:9" ht="19.5" thickBot="1">
      <c r="H612" s="9">
        <v>197</v>
      </c>
      <c r="I612" s="4">
        <f t="shared" si="85"/>
        <v>147.75</v>
      </c>
    </row>
    <row r="613" spans="8:9" ht="19.5" thickBot="1">
      <c r="H613" s="9">
        <v>3</v>
      </c>
      <c r="I613" s="4">
        <f t="shared" si="85"/>
        <v>2.25</v>
      </c>
    </row>
    <row r="614" spans="8:9" ht="19.5" thickBot="1">
      <c r="H614" s="9">
        <v>200</v>
      </c>
      <c r="I614" s="4">
        <f t="shared" si="85"/>
        <v>150</v>
      </c>
    </row>
    <row r="628" ht="19.5" thickBot="1"/>
    <row r="629" spans="8:9" ht="19.5" thickBot="1">
      <c r="H629" s="30">
        <v>57</v>
      </c>
      <c r="I629" s="4">
        <f>H629*45/60</f>
        <v>42.75</v>
      </c>
    </row>
    <row r="630" spans="8:9" ht="19.5" thickBot="1">
      <c r="H630" s="27">
        <v>60</v>
      </c>
      <c r="I630" s="4">
        <f aca="true" t="shared" si="86" ref="I630:I636">H630*45/60</f>
        <v>45</v>
      </c>
    </row>
    <row r="631" spans="8:9" ht="19.5" thickBot="1">
      <c r="H631" s="27"/>
      <c r="I631" s="4">
        <f t="shared" si="86"/>
        <v>0</v>
      </c>
    </row>
    <row r="632" spans="8:9" ht="19.5" thickBot="1">
      <c r="H632" s="27">
        <v>12</v>
      </c>
      <c r="I632" s="4">
        <f t="shared" si="86"/>
        <v>9</v>
      </c>
    </row>
    <row r="633" spans="8:9" ht="19.5" thickBot="1">
      <c r="H633" s="27">
        <v>5</v>
      </c>
      <c r="I633" s="4">
        <f t="shared" si="86"/>
        <v>3.75</v>
      </c>
    </row>
    <row r="634" spans="8:9" ht="19.5" thickBot="1">
      <c r="H634" s="27">
        <v>5</v>
      </c>
      <c r="I634" s="4">
        <f t="shared" si="86"/>
        <v>3.75</v>
      </c>
    </row>
    <row r="635" spans="8:9" ht="19.5" thickBot="1">
      <c r="H635" s="27">
        <v>0.72</v>
      </c>
      <c r="I635" s="4">
        <f t="shared" si="86"/>
        <v>0.5399999999999999</v>
      </c>
    </row>
    <row r="636" spans="8:9" ht="19.5" thickBot="1">
      <c r="H636" s="29">
        <v>60</v>
      </c>
      <c r="I636" s="4">
        <f t="shared" si="86"/>
        <v>45</v>
      </c>
    </row>
    <row r="637" ht="19.5" thickBot="1"/>
    <row r="638" spans="10:11" ht="19.5" thickBot="1">
      <c r="J638" s="14">
        <v>10</v>
      </c>
      <c r="K638" s="4">
        <f>J638*200/250</f>
        <v>8</v>
      </c>
    </row>
    <row r="639" spans="10:11" ht="19.5" thickBot="1">
      <c r="J639" s="15"/>
      <c r="K639" s="4">
        <f aca="true" t="shared" si="87" ref="K639:K649">J639*200/250</f>
        <v>0</v>
      </c>
    </row>
    <row r="640" spans="10:11" ht="19.5" thickBot="1">
      <c r="J640" s="15">
        <v>100</v>
      </c>
      <c r="K640" s="4">
        <f t="shared" si="87"/>
        <v>80</v>
      </c>
    </row>
    <row r="641" spans="10:11" ht="19.5" thickBot="1">
      <c r="J641" s="15">
        <v>107</v>
      </c>
      <c r="K641" s="4">
        <f t="shared" si="87"/>
        <v>85.6</v>
      </c>
    </row>
    <row r="642" spans="10:11" ht="19.5" thickBot="1">
      <c r="J642" s="15">
        <v>116</v>
      </c>
      <c r="K642" s="4">
        <f t="shared" si="87"/>
        <v>92.8</v>
      </c>
    </row>
    <row r="643" spans="10:11" ht="19.5" thickBot="1">
      <c r="J643" s="15">
        <v>125</v>
      </c>
      <c r="K643" s="4">
        <f t="shared" si="87"/>
        <v>100</v>
      </c>
    </row>
    <row r="644" spans="10:11" ht="19.5" thickBot="1">
      <c r="J644" s="15"/>
      <c r="K644" s="4">
        <f t="shared" si="87"/>
        <v>0</v>
      </c>
    </row>
    <row r="645" spans="5:11" ht="19.5" thickBot="1">
      <c r="E645" s="5">
        <v>150</v>
      </c>
      <c r="F645" s="4">
        <f>E645*220/250</f>
        <v>132</v>
      </c>
      <c r="J645" s="15">
        <v>16</v>
      </c>
      <c r="K645" s="4">
        <f t="shared" si="87"/>
        <v>12.8</v>
      </c>
    </row>
    <row r="646" spans="5:11" ht="19.5" thickBot="1">
      <c r="E646" s="6">
        <v>122</v>
      </c>
      <c r="F646" s="4">
        <f aca="true" t="shared" si="88" ref="F646:F658">E646*220/250</f>
        <v>107.36</v>
      </c>
      <c r="J646" s="15">
        <v>17</v>
      </c>
      <c r="K646" s="4">
        <f t="shared" si="87"/>
        <v>13.6</v>
      </c>
    </row>
    <row r="647" spans="5:11" ht="19.5" thickBot="1">
      <c r="E647" s="26"/>
      <c r="F647" s="4">
        <f t="shared" si="88"/>
        <v>0</v>
      </c>
      <c r="J647" s="15">
        <v>12</v>
      </c>
      <c r="K647" s="4">
        <f t="shared" si="87"/>
        <v>9.6</v>
      </c>
    </row>
    <row r="648" spans="5:11" ht="19.5" thickBot="1">
      <c r="E648" s="6">
        <v>236</v>
      </c>
      <c r="F648" s="4">
        <f t="shared" si="88"/>
        <v>207.68</v>
      </c>
      <c r="J648" s="9">
        <v>4</v>
      </c>
      <c r="K648" s="4">
        <f t="shared" si="87"/>
        <v>3.2</v>
      </c>
    </row>
    <row r="649" spans="5:11" ht="19.5" thickBot="1">
      <c r="E649" s="6">
        <v>8</v>
      </c>
      <c r="F649" s="4">
        <f t="shared" si="88"/>
        <v>7.04</v>
      </c>
      <c r="J649" s="9">
        <v>188</v>
      </c>
      <c r="K649" s="4">
        <f t="shared" si="87"/>
        <v>150.4</v>
      </c>
    </row>
    <row r="650" spans="5:6" ht="19.5" thickBot="1">
      <c r="E650" s="6">
        <v>14</v>
      </c>
      <c r="F650" s="4">
        <f t="shared" si="88"/>
        <v>12.32</v>
      </c>
    </row>
    <row r="651" spans="5:6" ht="19.5" thickBot="1">
      <c r="E651" s="6"/>
      <c r="F651" s="4">
        <f t="shared" si="88"/>
        <v>0</v>
      </c>
    </row>
    <row r="652" spans="5:12" ht="19.5" thickBot="1">
      <c r="E652" s="6">
        <v>9</v>
      </c>
      <c r="F652" s="4">
        <f t="shared" si="88"/>
        <v>7.92</v>
      </c>
      <c r="K652" s="5">
        <v>135</v>
      </c>
      <c r="L652" s="4">
        <f>K652*130/150</f>
        <v>117</v>
      </c>
    </row>
    <row r="653" spans="5:12" ht="19.5" thickBot="1">
      <c r="E653" s="6">
        <v>10</v>
      </c>
      <c r="F653" s="4">
        <f t="shared" si="88"/>
        <v>8.8</v>
      </c>
      <c r="K653" s="6">
        <v>5</v>
      </c>
      <c r="L653" s="4">
        <f aca="true" t="shared" si="89" ref="L653:L658">K653*130/150</f>
        <v>4.333333333333333</v>
      </c>
    </row>
    <row r="654" spans="5:12" ht="19.5" thickBot="1">
      <c r="E654" s="6">
        <v>13</v>
      </c>
      <c r="F654" s="4">
        <f t="shared" si="88"/>
        <v>11.44</v>
      </c>
      <c r="K654" s="6">
        <v>15</v>
      </c>
      <c r="L654" s="4">
        <f t="shared" si="89"/>
        <v>13</v>
      </c>
    </row>
    <row r="655" spans="5:12" ht="19.5" thickBot="1">
      <c r="E655" s="6">
        <v>2</v>
      </c>
      <c r="F655" s="4">
        <f t="shared" si="88"/>
        <v>1.76</v>
      </c>
      <c r="H655" s="30">
        <v>45</v>
      </c>
      <c r="I655" s="4">
        <f>H655*150/200</f>
        <v>33.75</v>
      </c>
      <c r="K655" s="6">
        <v>20</v>
      </c>
      <c r="L655" s="4">
        <f t="shared" si="89"/>
        <v>17.333333333333332</v>
      </c>
    </row>
    <row r="656" spans="5:12" ht="19.5" thickBot="1">
      <c r="E656" s="6">
        <v>5</v>
      </c>
      <c r="F656" s="4">
        <f t="shared" si="88"/>
        <v>4.4</v>
      </c>
      <c r="H656" s="27">
        <v>45</v>
      </c>
      <c r="I656" s="4">
        <f>H656*150/200</f>
        <v>33.75</v>
      </c>
      <c r="K656" s="6">
        <v>170</v>
      </c>
      <c r="L656" s="4">
        <f t="shared" si="89"/>
        <v>147.33333333333334</v>
      </c>
    </row>
    <row r="657" spans="5:12" ht="19.5" thickBot="1">
      <c r="E657" s="6">
        <v>180</v>
      </c>
      <c r="F657" s="4">
        <f t="shared" si="88"/>
        <v>158.4</v>
      </c>
      <c r="H657" s="27">
        <v>21.42</v>
      </c>
      <c r="I657" s="4">
        <f>H657*150/200</f>
        <v>16.065</v>
      </c>
      <c r="K657" s="6">
        <v>5</v>
      </c>
      <c r="L657" s="4">
        <f t="shared" si="89"/>
        <v>4.333333333333333</v>
      </c>
    </row>
    <row r="658" spans="5:12" ht="19.5" thickBot="1">
      <c r="E658" s="26">
        <v>250</v>
      </c>
      <c r="F658" s="4">
        <f t="shared" si="88"/>
        <v>220</v>
      </c>
      <c r="H658" s="27">
        <v>170</v>
      </c>
      <c r="I658" s="4">
        <f>H658*150/200</f>
        <v>127.5</v>
      </c>
      <c r="K658" s="26">
        <v>150</v>
      </c>
      <c r="L658" s="4">
        <f t="shared" si="89"/>
        <v>130</v>
      </c>
    </row>
    <row r="659" spans="8:9" ht="19.5" thickBot="1">
      <c r="H659" s="29">
        <v>200</v>
      </c>
      <c r="I659" s="4">
        <f>H659*150/200</f>
        <v>150</v>
      </c>
    </row>
    <row r="665" ht="19.5" thickBot="1"/>
    <row r="666" spans="9:10" ht="19.5" thickBot="1">
      <c r="I666" s="5">
        <v>59</v>
      </c>
      <c r="J666" s="4">
        <f>I666*200/250</f>
        <v>47.2</v>
      </c>
    </row>
    <row r="667" spans="5:10" ht="19.5" thickBot="1">
      <c r="E667" s="28">
        <v>46</v>
      </c>
      <c r="F667" s="4">
        <f>E667*45/60</f>
        <v>34.5</v>
      </c>
      <c r="I667" s="6">
        <v>63</v>
      </c>
      <c r="J667" s="4">
        <f aca="true" t="shared" si="90" ref="J667:J685">I667*200/250</f>
        <v>50.4</v>
      </c>
    </row>
    <row r="668" spans="5:10" ht="19.5" thickBot="1">
      <c r="E668" s="29">
        <v>10</v>
      </c>
      <c r="F668" s="4">
        <f>E668*45/60</f>
        <v>7.5</v>
      </c>
      <c r="I668" s="6">
        <v>68</v>
      </c>
      <c r="J668" s="4">
        <f t="shared" si="90"/>
        <v>54.4</v>
      </c>
    </row>
    <row r="669" spans="5:10" ht="19.5" thickBot="1">
      <c r="E669" s="29">
        <v>5</v>
      </c>
      <c r="F669" s="4">
        <f>E669*45/60</f>
        <v>3.75</v>
      </c>
      <c r="I669" s="6">
        <v>73</v>
      </c>
      <c r="J669" s="4">
        <f t="shared" si="90"/>
        <v>58.4</v>
      </c>
    </row>
    <row r="670" spans="5:10" ht="19.5" thickBot="1">
      <c r="E670" s="29">
        <v>60</v>
      </c>
      <c r="F670" s="4">
        <f>E670*45/60</f>
        <v>45</v>
      </c>
      <c r="I670" s="6"/>
      <c r="J670" s="4">
        <f t="shared" si="90"/>
        <v>0</v>
      </c>
    </row>
    <row r="671" spans="9:10" ht="19.5" thickBot="1">
      <c r="I671" s="6">
        <v>11</v>
      </c>
      <c r="J671" s="4">
        <f t="shared" si="90"/>
        <v>8.8</v>
      </c>
    </row>
    <row r="672" spans="9:10" ht="19.5" thickBot="1">
      <c r="I672" s="6">
        <v>12</v>
      </c>
      <c r="J672" s="4">
        <f t="shared" si="90"/>
        <v>9.6</v>
      </c>
    </row>
    <row r="673" spans="9:10" ht="19.5" thickBot="1">
      <c r="I673" s="6">
        <v>11</v>
      </c>
      <c r="J673" s="4">
        <f t="shared" si="90"/>
        <v>8.8</v>
      </c>
    </row>
    <row r="674" spans="9:10" ht="19.5" thickBot="1">
      <c r="I674" s="6">
        <v>2</v>
      </c>
      <c r="J674" s="4">
        <f t="shared" si="90"/>
        <v>1.6</v>
      </c>
    </row>
    <row r="675" spans="9:10" ht="19.5" thickBot="1">
      <c r="I675" s="6">
        <v>44</v>
      </c>
      <c r="J675" s="4">
        <f t="shared" si="90"/>
        <v>35.2</v>
      </c>
    </row>
    <row r="676" spans="9:10" ht="19.5" thickBot="1">
      <c r="I676" s="6">
        <v>44</v>
      </c>
      <c r="J676" s="4">
        <f t="shared" si="90"/>
        <v>35.2</v>
      </c>
    </row>
    <row r="677" spans="9:10" ht="19.5" thickBot="1">
      <c r="I677" s="6">
        <v>44</v>
      </c>
      <c r="J677" s="4">
        <f t="shared" si="90"/>
        <v>35.2</v>
      </c>
    </row>
    <row r="678" spans="9:10" ht="19.5" thickBot="1">
      <c r="I678" s="6"/>
      <c r="J678" s="4">
        <f t="shared" si="90"/>
        <v>0</v>
      </c>
    </row>
    <row r="679" spans="3:10" ht="19.5" thickBot="1">
      <c r="C679" s="5">
        <v>106</v>
      </c>
      <c r="D679" s="4">
        <f>C679*70/80</f>
        <v>92.75</v>
      </c>
      <c r="I679" s="6">
        <v>9</v>
      </c>
      <c r="J679" s="4">
        <f t="shared" si="90"/>
        <v>7.2</v>
      </c>
    </row>
    <row r="680" spans="3:10" ht="19.5" thickBot="1">
      <c r="C680" s="6">
        <v>89</v>
      </c>
      <c r="D680" s="4">
        <f aca="true" t="shared" si="91" ref="D680:D698">C680*70/80</f>
        <v>77.875</v>
      </c>
      <c r="I680" s="6">
        <v>9</v>
      </c>
      <c r="J680" s="4">
        <f t="shared" si="90"/>
        <v>7.2</v>
      </c>
    </row>
    <row r="681" spans="3:10" ht="19.5" thickBot="1">
      <c r="C681" s="6">
        <v>102</v>
      </c>
      <c r="D681" s="4">
        <f t="shared" si="91"/>
        <v>89.25</v>
      </c>
      <c r="I681" s="6">
        <v>9</v>
      </c>
      <c r="J681" s="4">
        <f t="shared" si="90"/>
        <v>7.2</v>
      </c>
    </row>
    <row r="682" spans="3:10" ht="19.5" thickBot="1">
      <c r="C682" s="6">
        <v>89</v>
      </c>
      <c r="D682" s="4">
        <f t="shared" si="91"/>
        <v>77.875</v>
      </c>
      <c r="I682" s="6">
        <v>2</v>
      </c>
      <c r="J682" s="4">
        <f t="shared" si="90"/>
        <v>1.6</v>
      </c>
    </row>
    <row r="683" spans="3:10" ht="19.5" thickBot="1">
      <c r="C683" s="6">
        <v>117</v>
      </c>
      <c r="D683" s="4">
        <f t="shared" si="91"/>
        <v>102.375</v>
      </c>
      <c r="I683" s="6">
        <v>31</v>
      </c>
      <c r="J683" s="4">
        <f t="shared" si="90"/>
        <v>24.8</v>
      </c>
    </row>
    <row r="684" spans="3:10" ht="19.5" thickBot="1">
      <c r="C684" s="6">
        <v>86</v>
      </c>
      <c r="D684" s="4">
        <f t="shared" si="91"/>
        <v>75.25</v>
      </c>
      <c r="I684" s="6">
        <v>175</v>
      </c>
      <c r="J684" s="4">
        <f t="shared" si="90"/>
        <v>140</v>
      </c>
    </row>
    <row r="685" spans="3:10" ht="19.5" thickBot="1">
      <c r="C685" s="26">
        <v>15</v>
      </c>
      <c r="D685" s="4">
        <f t="shared" si="91"/>
        <v>13.125</v>
      </c>
      <c r="I685" s="6">
        <v>250</v>
      </c>
      <c r="J685" s="4">
        <f t="shared" si="90"/>
        <v>200</v>
      </c>
    </row>
    <row r="686" spans="3:4" ht="19.5" thickBot="1">
      <c r="C686" s="26"/>
      <c r="D686" s="4">
        <f t="shared" si="91"/>
        <v>0</v>
      </c>
    </row>
    <row r="687" spans="3:8" ht="19.5" thickBot="1">
      <c r="C687" s="26">
        <v>18</v>
      </c>
      <c r="D687" s="4">
        <f t="shared" si="91"/>
        <v>15.75</v>
      </c>
      <c r="G687" s="30">
        <v>45</v>
      </c>
      <c r="H687" s="4">
        <f>G687*130/150</f>
        <v>39</v>
      </c>
    </row>
    <row r="688" spans="3:8" ht="19.5" thickBot="1">
      <c r="C688" s="26">
        <v>19</v>
      </c>
      <c r="D688" s="4">
        <f t="shared" si="91"/>
        <v>16.625</v>
      </c>
      <c r="G688" s="27">
        <v>94</v>
      </c>
      <c r="H688" s="4">
        <f aca="true" t="shared" si="92" ref="H688:H698">G688*130/150</f>
        <v>81.46666666666667</v>
      </c>
    </row>
    <row r="689" spans="3:8" ht="19.5" thickBot="1">
      <c r="C689" s="26">
        <v>10</v>
      </c>
      <c r="D689" s="4">
        <f t="shared" si="91"/>
        <v>8.75</v>
      </c>
      <c r="G689" s="27"/>
      <c r="H689" s="4">
        <f t="shared" si="92"/>
        <v>0</v>
      </c>
    </row>
    <row r="690" spans="3:8" ht="19.5" thickBot="1">
      <c r="C690" s="26">
        <v>5</v>
      </c>
      <c r="D690" s="4">
        <f t="shared" si="91"/>
        <v>4.375</v>
      </c>
      <c r="G690" s="27">
        <v>3</v>
      </c>
      <c r="H690" s="4">
        <f t="shared" si="92"/>
        <v>2.6</v>
      </c>
    </row>
    <row r="691" spans="3:8" ht="19.5" thickBot="1">
      <c r="C691" s="26">
        <v>4</v>
      </c>
      <c r="D691" s="4">
        <f t="shared" si="91"/>
        <v>3.5</v>
      </c>
      <c r="G691" s="27"/>
      <c r="H691" s="4">
        <f t="shared" si="92"/>
        <v>0</v>
      </c>
    </row>
    <row r="692" spans="3:12" ht="19.5" thickBot="1">
      <c r="C692" s="26">
        <v>1.4</v>
      </c>
      <c r="D692" s="4">
        <f t="shared" si="91"/>
        <v>1.225</v>
      </c>
      <c r="G692" s="27">
        <v>27</v>
      </c>
      <c r="H692" s="4">
        <f t="shared" si="92"/>
        <v>23.4</v>
      </c>
      <c r="K692" s="5">
        <v>37</v>
      </c>
      <c r="L692" s="4">
        <f>K692*60/70</f>
        <v>31.714285714285715</v>
      </c>
    </row>
    <row r="693" spans="3:12" ht="19.5" thickBot="1">
      <c r="C693" s="26">
        <v>0.004</v>
      </c>
      <c r="D693" s="4">
        <f t="shared" si="91"/>
        <v>0.0035000000000000005</v>
      </c>
      <c r="G693" s="27">
        <v>28</v>
      </c>
      <c r="H693" s="4">
        <f t="shared" si="92"/>
        <v>24.266666666666666</v>
      </c>
      <c r="K693" s="6">
        <v>2</v>
      </c>
      <c r="L693" s="4">
        <f aca="true" t="shared" si="93" ref="L693:L702">K693*60/70</f>
        <v>1.7142857142857142</v>
      </c>
    </row>
    <row r="694" spans="3:12" ht="19.5" thickBot="1">
      <c r="C694" s="26">
        <v>0.004</v>
      </c>
      <c r="D694" s="4">
        <f t="shared" si="91"/>
        <v>0.0035000000000000005</v>
      </c>
      <c r="G694" s="27">
        <v>15</v>
      </c>
      <c r="H694" s="4">
        <f t="shared" si="92"/>
        <v>13</v>
      </c>
      <c r="K694" s="6">
        <v>20</v>
      </c>
      <c r="L694" s="4">
        <f t="shared" si="93"/>
        <v>17.142857142857142</v>
      </c>
    </row>
    <row r="695" spans="3:12" ht="19.5" thickBot="1">
      <c r="C695" s="26">
        <v>0.004</v>
      </c>
      <c r="D695" s="4">
        <f t="shared" si="91"/>
        <v>0.0035000000000000005</v>
      </c>
      <c r="G695" s="27">
        <v>8</v>
      </c>
      <c r="H695" s="4">
        <f t="shared" si="92"/>
        <v>6.933333333333334</v>
      </c>
      <c r="K695" s="6">
        <v>9</v>
      </c>
      <c r="L695" s="4">
        <f t="shared" si="93"/>
        <v>7.714285714285714</v>
      </c>
    </row>
    <row r="696" spans="3:12" ht="19.5" thickBot="1">
      <c r="C696" s="26">
        <v>40</v>
      </c>
      <c r="D696" s="4">
        <f t="shared" si="91"/>
        <v>35</v>
      </c>
      <c r="G696" s="27">
        <v>5</v>
      </c>
      <c r="H696" s="4">
        <f t="shared" si="92"/>
        <v>4.333333333333333</v>
      </c>
      <c r="K696" s="6">
        <v>2</v>
      </c>
      <c r="L696" s="4">
        <f t="shared" si="93"/>
        <v>1.7142857142857142</v>
      </c>
    </row>
    <row r="697" spans="3:12" ht="19.5" thickBot="1">
      <c r="C697" s="26">
        <v>80</v>
      </c>
      <c r="D697" s="4">
        <f t="shared" si="91"/>
        <v>70</v>
      </c>
      <c r="G697" s="9">
        <v>30</v>
      </c>
      <c r="H697" s="4">
        <f t="shared" si="92"/>
        <v>26</v>
      </c>
      <c r="K697" s="6">
        <v>1</v>
      </c>
      <c r="L697" s="4">
        <f t="shared" si="93"/>
        <v>0.8571428571428571</v>
      </c>
    </row>
    <row r="698" spans="3:12" ht="19.5" thickBot="1">
      <c r="C698" s="26">
        <v>80</v>
      </c>
      <c r="D698" s="4">
        <f t="shared" si="91"/>
        <v>70</v>
      </c>
      <c r="G698" s="9">
        <v>150</v>
      </c>
      <c r="H698" s="4">
        <f t="shared" si="92"/>
        <v>130</v>
      </c>
      <c r="K698" s="6">
        <v>7</v>
      </c>
      <c r="L698" s="4">
        <f t="shared" si="93"/>
        <v>6</v>
      </c>
    </row>
    <row r="699" spans="11:12" ht="19.5" thickBot="1">
      <c r="K699" s="6">
        <v>0.525</v>
      </c>
      <c r="L699" s="4">
        <f t="shared" si="93"/>
        <v>0.45</v>
      </c>
    </row>
    <row r="700" spans="11:12" ht="19.5" thickBot="1">
      <c r="K700" s="6">
        <v>0.0117</v>
      </c>
      <c r="L700" s="4">
        <f t="shared" si="93"/>
        <v>0.01002857142857143</v>
      </c>
    </row>
    <row r="701" spans="6:12" ht="19.5" thickBot="1">
      <c r="F701" s="5">
        <v>176</v>
      </c>
      <c r="G701" s="4">
        <f>F701*200/250</f>
        <v>140.8</v>
      </c>
      <c r="K701" s="6">
        <v>77</v>
      </c>
      <c r="L701" s="4">
        <f t="shared" si="93"/>
        <v>66</v>
      </c>
    </row>
    <row r="702" spans="6:12" ht="19.5" thickBot="1">
      <c r="F702" s="6">
        <v>188</v>
      </c>
      <c r="G702" s="4">
        <f aca="true" t="shared" si="94" ref="G702:G711">F702*200/250</f>
        <v>150.4</v>
      </c>
      <c r="K702" s="6">
        <v>70</v>
      </c>
      <c r="L702" s="4">
        <f t="shared" si="93"/>
        <v>60</v>
      </c>
    </row>
    <row r="703" spans="6:7" ht="19.5" thickBot="1">
      <c r="F703" s="6">
        <v>145</v>
      </c>
      <c r="G703" s="4">
        <f t="shared" si="94"/>
        <v>116</v>
      </c>
    </row>
    <row r="704" spans="6:7" ht="19.5" thickBot="1">
      <c r="F704" s="6">
        <v>13</v>
      </c>
      <c r="G704" s="4">
        <f t="shared" si="94"/>
        <v>10.4</v>
      </c>
    </row>
    <row r="705" spans="6:7" ht="19.5" thickBot="1">
      <c r="F705" s="6">
        <v>50</v>
      </c>
      <c r="G705" s="4">
        <f t="shared" si="94"/>
        <v>40</v>
      </c>
    </row>
    <row r="706" spans="6:7" ht="19.5" thickBot="1">
      <c r="F706" s="6">
        <v>7</v>
      </c>
      <c r="G706" s="4">
        <f t="shared" si="94"/>
        <v>5.6</v>
      </c>
    </row>
    <row r="707" spans="6:7" ht="19.5" thickBot="1">
      <c r="F707" s="6">
        <v>7</v>
      </c>
      <c r="G707" s="4">
        <f t="shared" si="94"/>
        <v>5.6</v>
      </c>
    </row>
    <row r="708" spans="6:7" ht="19.5" thickBot="1">
      <c r="F708" s="6">
        <v>268</v>
      </c>
      <c r="G708" s="4">
        <f t="shared" si="94"/>
        <v>214.4</v>
      </c>
    </row>
    <row r="709" spans="6:10" ht="19.5" thickBot="1">
      <c r="F709" s="6">
        <v>13</v>
      </c>
      <c r="G709" s="4">
        <f t="shared" si="94"/>
        <v>10.4</v>
      </c>
      <c r="I709" s="5">
        <v>20</v>
      </c>
      <c r="J709" s="4">
        <f>I709*80/100</f>
        <v>16</v>
      </c>
    </row>
    <row r="710" spans="6:10" ht="19.5" thickBot="1">
      <c r="F710" s="6">
        <v>282</v>
      </c>
      <c r="G710" s="4">
        <f t="shared" si="94"/>
        <v>225.6</v>
      </c>
      <c r="I710" s="6">
        <v>20</v>
      </c>
      <c r="J710" s="4">
        <f aca="true" t="shared" si="95" ref="J710:J723">I710*80/100</f>
        <v>16</v>
      </c>
    </row>
    <row r="711" spans="6:10" ht="19.5" thickBot="1">
      <c r="F711" s="6">
        <v>250</v>
      </c>
      <c r="G711" s="4">
        <f t="shared" si="94"/>
        <v>200</v>
      </c>
      <c r="I711" s="6">
        <v>22</v>
      </c>
      <c r="J711" s="4">
        <f t="shared" si="95"/>
        <v>17.6</v>
      </c>
    </row>
    <row r="712" spans="9:10" ht="19.5" thickBot="1">
      <c r="I712" s="6">
        <v>40</v>
      </c>
      <c r="J712" s="4">
        <f t="shared" si="95"/>
        <v>32</v>
      </c>
    </row>
    <row r="713" spans="9:10" ht="19.5" thickBot="1">
      <c r="I713" s="6">
        <v>33</v>
      </c>
      <c r="J713" s="4">
        <f t="shared" si="95"/>
        <v>26.4</v>
      </c>
    </row>
    <row r="714" spans="9:10" ht="19.5" thickBot="1">
      <c r="I714" s="6">
        <v>34</v>
      </c>
      <c r="J714" s="4">
        <f t="shared" si="95"/>
        <v>27.2</v>
      </c>
    </row>
    <row r="715" spans="9:10" ht="19.5" thickBot="1">
      <c r="I715" s="6">
        <v>32</v>
      </c>
      <c r="J715" s="4">
        <f t="shared" si="95"/>
        <v>25.6</v>
      </c>
    </row>
    <row r="716" spans="9:10" ht="19.5" thickBot="1">
      <c r="I716" s="6">
        <v>4</v>
      </c>
      <c r="J716" s="4">
        <f t="shared" si="95"/>
        <v>3.2</v>
      </c>
    </row>
    <row r="717" spans="5:10" ht="19.5" thickBot="1">
      <c r="E717" s="30">
        <v>62</v>
      </c>
      <c r="F717" s="4">
        <f>E717*50/70</f>
        <v>44.285714285714285</v>
      </c>
      <c r="I717" s="6">
        <v>2</v>
      </c>
      <c r="J717" s="4">
        <f t="shared" si="95"/>
        <v>1.6</v>
      </c>
    </row>
    <row r="718" spans="5:10" ht="19.5" thickBot="1">
      <c r="E718" s="27">
        <v>7</v>
      </c>
      <c r="F718" s="4">
        <f aca="true" t="shared" si="96" ref="F718:F728">E718*50/70</f>
        <v>5</v>
      </c>
      <c r="I718" s="6">
        <v>2</v>
      </c>
      <c r="J718" s="4">
        <f t="shared" si="95"/>
        <v>1.6</v>
      </c>
    </row>
    <row r="719" spans="5:13" ht="19.5" thickBot="1">
      <c r="E719" s="27">
        <v>6</v>
      </c>
      <c r="F719" s="4">
        <f t="shared" si="96"/>
        <v>4.285714285714286</v>
      </c>
      <c r="I719" s="33">
        <v>15.3</v>
      </c>
      <c r="J719" s="4">
        <f t="shared" si="95"/>
        <v>12.24</v>
      </c>
      <c r="L719" s="14">
        <v>40</v>
      </c>
      <c r="M719" s="4">
        <f>L719*200/250</f>
        <v>32</v>
      </c>
    </row>
    <row r="720" spans="5:13" ht="19.5" thickBot="1">
      <c r="E720" s="27"/>
      <c r="F720" s="4">
        <f t="shared" si="96"/>
        <v>0</v>
      </c>
      <c r="I720" s="6">
        <v>1</v>
      </c>
      <c r="J720" s="4">
        <f t="shared" si="95"/>
        <v>0.8</v>
      </c>
      <c r="L720" s="15">
        <v>10</v>
      </c>
      <c r="M720" s="4">
        <f aca="true" t="shared" si="97" ref="M720:M734">L720*200/250</f>
        <v>8</v>
      </c>
    </row>
    <row r="721" spans="5:13" ht="19.5" thickBot="1">
      <c r="E721" s="27">
        <v>25</v>
      </c>
      <c r="F721" s="4">
        <f t="shared" si="96"/>
        <v>17.857142857142858</v>
      </c>
      <c r="I721" s="6">
        <v>3</v>
      </c>
      <c r="J721" s="4">
        <f t="shared" si="95"/>
        <v>2.4</v>
      </c>
      <c r="L721" s="15">
        <v>175</v>
      </c>
      <c r="M721" s="4">
        <f t="shared" si="97"/>
        <v>140</v>
      </c>
    </row>
    <row r="722" spans="5:13" ht="19.5" thickBot="1">
      <c r="E722" s="9">
        <v>3</v>
      </c>
      <c r="F722" s="4">
        <f t="shared" si="96"/>
        <v>2.142857142857143</v>
      </c>
      <c r="I722" s="6">
        <v>112</v>
      </c>
      <c r="J722" s="4">
        <f t="shared" si="95"/>
        <v>89.6</v>
      </c>
      <c r="L722" s="15"/>
      <c r="M722" s="4">
        <f t="shared" si="97"/>
        <v>0</v>
      </c>
    </row>
    <row r="723" spans="5:13" ht="19.5" thickBot="1">
      <c r="E723" s="9">
        <v>2</v>
      </c>
      <c r="F723" s="4">
        <f t="shared" si="96"/>
        <v>1.4285714285714286</v>
      </c>
      <c r="I723" s="6">
        <v>100</v>
      </c>
      <c r="J723" s="4">
        <f t="shared" si="95"/>
        <v>80</v>
      </c>
      <c r="L723" s="15">
        <v>85</v>
      </c>
      <c r="M723" s="4">
        <f t="shared" si="97"/>
        <v>68</v>
      </c>
    </row>
    <row r="724" spans="5:13" ht="19.5" thickBot="1">
      <c r="E724" s="9">
        <v>8</v>
      </c>
      <c r="F724" s="4">
        <f t="shared" si="96"/>
        <v>5.714285714285714</v>
      </c>
      <c r="L724" s="15">
        <v>107</v>
      </c>
      <c r="M724" s="4">
        <f t="shared" si="97"/>
        <v>85.6</v>
      </c>
    </row>
    <row r="725" spans="5:13" ht="19.5" thickBot="1">
      <c r="E725" s="9">
        <v>4</v>
      </c>
      <c r="F725" s="4">
        <f t="shared" si="96"/>
        <v>2.857142857142857</v>
      </c>
      <c r="H725" s="28">
        <v>69</v>
      </c>
      <c r="I725" s="4">
        <f>H725*130/150</f>
        <v>59.8</v>
      </c>
      <c r="L725" s="15">
        <v>116</v>
      </c>
      <c r="M725" s="4">
        <f t="shared" si="97"/>
        <v>92.8</v>
      </c>
    </row>
    <row r="726" spans="5:13" ht="19.5" thickBot="1">
      <c r="E726" s="9">
        <v>83</v>
      </c>
      <c r="F726" s="4">
        <f t="shared" si="96"/>
        <v>59.285714285714285</v>
      </c>
      <c r="H726" s="29">
        <v>103</v>
      </c>
      <c r="I726" s="4">
        <f>H726*130/150</f>
        <v>89.26666666666667</v>
      </c>
      <c r="L726" s="15">
        <v>125</v>
      </c>
      <c r="M726" s="4">
        <f t="shared" si="97"/>
        <v>100</v>
      </c>
    </row>
    <row r="727" spans="5:13" ht="19.5" thickBot="1">
      <c r="E727" s="9">
        <v>4</v>
      </c>
      <c r="F727" s="4">
        <f t="shared" si="96"/>
        <v>2.857142857142857</v>
      </c>
      <c r="H727" s="29">
        <v>145</v>
      </c>
      <c r="I727" s="4">
        <f>H727*130/150</f>
        <v>125.66666666666667</v>
      </c>
      <c r="L727" s="15"/>
      <c r="M727" s="4">
        <f t="shared" si="97"/>
        <v>0</v>
      </c>
    </row>
    <row r="728" spans="5:13" ht="19.5" thickBot="1">
      <c r="E728" s="9">
        <v>70</v>
      </c>
      <c r="F728" s="4">
        <f t="shared" si="96"/>
        <v>50</v>
      </c>
      <c r="H728" s="29">
        <v>5</v>
      </c>
      <c r="I728" s="4">
        <f>H728*130/150</f>
        <v>4.333333333333333</v>
      </c>
      <c r="L728" s="15">
        <v>13</v>
      </c>
      <c r="M728" s="4">
        <f t="shared" si="97"/>
        <v>10.4</v>
      </c>
    </row>
    <row r="729" spans="8:13" ht="19.5" thickBot="1">
      <c r="H729" s="29">
        <v>150</v>
      </c>
      <c r="I729" s="4">
        <f>H729*130/150</f>
        <v>130</v>
      </c>
      <c r="L729" s="15">
        <v>14</v>
      </c>
      <c r="M729" s="4">
        <f t="shared" si="97"/>
        <v>11.2</v>
      </c>
    </row>
    <row r="730" spans="12:13" ht="19.5" thickBot="1">
      <c r="L730" s="15">
        <v>13</v>
      </c>
      <c r="M730" s="4">
        <f t="shared" si="97"/>
        <v>10.4</v>
      </c>
    </row>
    <row r="731" spans="12:13" ht="19.5" thickBot="1">
      <c r="L731" s="15">
        <v>4</v>
      </c>
      <c r="M731" s="4">
        <f t="shared" si="97"/>
        <v>3.2</v>
      </c>
    </row>
    <row r="732" spans="5:13" ht="19.5" thickBot="1">
      <c r="E732" s="13">
        <v>20</v>
      </c>
      <c r="F732" s="4">
        <f>E732*150/200</f>
        <v>15</v>
      </c>
      <c r="H732" s="25">
        <v>109</v>
      </c>
      <c r="I732" s="4">
        <f aca="true" t="shared" si="98" ref="I732:I737">H732*45/60</f>
        <v>81.75</v>
      </c>
      <c r="L732" s="9">
        <v>250</v>
      </c>
      <c r="M732" s="4">
        <f t="shared" si="97"/>
        <v>200</v>
      </c>
    </row>
    <row r="733" spans="5:13" ht="19.5" thickBot="1">
      <c r="E733" s="9">
        <v>150</v>
      </c>
      <c r="F733" s="4">
        <f aca="true" t="shared" si="99" ref="F733:F738">E733*150/200</f>
        <v>112.5</v>
      </c>
      <c r="H733" s="26">
        <v>109</v>
      </c>
      <c r="I733" s="4">
        <f t="shared" si="98"/>
        <v>81.75</v>
      </c>
      <c r="M733" s="4">
        <f t="shared" si="97"/>
        <v>0</v>
      </c>
    </row>
    <row r="734" spans="5:13" ht="19.5" thickBot="1">
      <c r="E734" s="9">
        <v>36</v>
      </c>
      <c r="F734" s="4">
        <f t="shared" si="99"/>
        <v>27</v>
      </c>
      <c r="H734" s="26">
        <v>61</v>
      </c>
      <c r="I734" s="4">
        <f t="shared" si="98"/>
        <v>45.75</v>
      </c>
      <c r="M734" s="4">
        <f t="shared" si="97"/>
        <v>0</v>
      </c>
    </row>
    <row r="735" spans="5:9" ht="19.5" thickBot="1">
      <c r="E735" s="9">
        <v>5</v>
      </c>
      <c r="F735" s="4">
        <f t="shared" si="99"/>
        <v>3.75</v>
      </c>
      <c r="H735" s="26">
        <v>61</v>
      </c>
      <c r="I735" s="4">
        <f t="shared" si="98"/>
        <v>45.75</v>
      </c>
    </row>
    <row r="736" spans="5:9" ht="19.5" thickBot="1">
      <c r="E736" s="9">
        <v>197</v>
      </c>
      <c r="F736" s="4">
        <f t="shared" si="99"/>
        <v>147.75</v>
      </c>
      <c r="H736" s="26">
        <v>62</v>
      </c>
      <c r="I736" s="4">
        <f t="shared" si="98"/>
        <v>46.5</v>
      </c>
    </row>
    <row r="737" spans="5:9" ht="19.5" thickBot="1">
      <c r="E737" s="9">
        <v>3</v>
      </c>
      <c r="F737" s="4">
        <f t="shared" si="99"/>
        <v>2.25</v>
      </c>
      <c r="H737" s="26">
        <v>80</v>
      </c>
      <c r="I737" s="4">
        <f t="shared" si="98"/>
        <v>60</v>
      </c>
    </row>
    <row r="738" spans="5:6" ht="19.5" thickBot="1">
      <c r="E738" s="9">
        <v>200</v>
      </c>
      <c r="F738" s="4">
        <f t="shared" si="99"/>
        <v>150</v>
      </c>
    </row>
    <row r="741" ht="19.5" thickBot="1"/>
    <row r="742" spans="7:8" ht="19.5" thickBot="1">
      <c r="G742" s="14">
        <v>80</v>
      </c>
      <c r="H742" s="4">
        <f>G742*200/250</f>
        <v>64</v>
      </c>
    </row>
    <row r="743" spans="7:8" ht="19.5" thickBot="1">
      <c r="G743" s="15">
        <v>80</v>
      </c>
      <c r="H743" s="4">
        <f aca="true" t="shared" si="100" ref="H743:H758">G743*200/250</f>
        <v>64</v>
      </c>
    </row>
    <row r="744" spans="7:8" ht="19.5" thickBot="1">
      <c r="G744" s="15">
        <v>85</v>
      </c>
      <c r="H744" s="4">
        <f t="shared" si="100"/>
        <v>68</v>
      </c>
    </row>
    <row r="745" spans="7:8" ht="19.5" thickBot="1">
      <c r="G745" s="15"/>
      <c r="H745" s="4">
        <f t="shared" si="100"/>
        <v>0</v>
      </c>
    </row>
    <row r="746" spans="7:8" ht="19.5" thickBot="1">
      <c r="G746" s="15">
        <v>56</v>
      </c>
      <c r="H746" s="4">
        <f t="shared" si="100"/>
        <v>44.8</v>
      </c>
    </row>
    <row r="747" spans="7:8" ht="19.5" thickBot="1">
      <c r="G747" s="15">
        <v>61</v>
      </c>
      <c r="H747" s="4">
        <f t="shared" si="100"/>
        <v>48.8</v>
      </c>
    </row>
    <row r="748" spans="7:8" ht="19.5" thickBot="1">
      <c r="G748" s="15">
        <v>65</v>
      </c>
      <c r="H748" s="4">
        <f t="shared" si="100"/>
        <v>52</v>
      </c>
    </row>
    <row r="749" spans="7:8" ht="19.5" thickBot="1">
      <c r="G749" s="15">
        <v>71</v>
      </c>
      <c r="H749" s="4">
        <f t="shared" si="100"/>
        <v>56.8</v>
      </c>
    </row>
    <row r="750" spans="7:8" ht="19.5" thickBot="1">
      <c r="G750" s="15"/>
      <c r="H750" s="4">
        <f t="shared" si="100"/>
        <v>0</v>
      </c>
    </row>
    <row r="751" spans="7:13" ht="19.5" thickBot="1">
      <c r="G751" s="15">
        <v>12.5</v>
      </c>
      <c r="H751" s="4">
        <f t="shared" si="100"/>
        <v>10</v>
      </c>
      <c r="L751" s="5">
        <v>45</v>
      </c>
      <c r="M751" s="4">
        <f>L751*60/70</f>
        <v>38.57142857142857</v>
      </c>
    </row>
    <row r="752" spans="7:13" ht="19.5" thickBot="1">
      <c r="G752" s="15">
        <v>13.3</v>
      </c>
      <c r="H752" s="4">
        <f t="shared" si="100"/>
        <v>10.64</v>
      </c>
      <c r="J752" s="14">
        <v>39</v>
      </c>
      <c r="K752" s="4">
        <f>J752*50/70</f>
        <v>27.857142857142858</v>
      </c>
      <c r="L752" s="6">
        <v>2</v>
      </c>
      <c r="M752" s="4">
        <f aca="true" t="shared" si="101" ref="M752:M762">L752*60/70</f>
        <v>1.7142857142857142</v>
      </c>
    </row>
    <row r="753" spans="7:13" ht="19.5" thickBot="1">
      <c r="G753" s="15">
        <v>13</v>
      </c>
      <c r="H753" s="4">
        <f t="shared" si="100"/>
        <v>10.4</v>
      </c>
      <c r="J753" s="15">
        <v>4</v>
      </c>
      <c r="K753" s="4">
        <f aca="true" t="shared" si="102" ref="K753:K763">J753*50/70</f>
        <v>2.857142857142857</v>
      </c>
      <c r="L753" s="6">
        <v>2</v>
      </c>
      <c r="M753" s="4">
        <f t="shared" si="101"/>
        <v>1.7142857142857142</v>
      </c>
    </row>
    <row r="754" spans="7:13" ht="19.5" thickBot="1">
      <c r="G754" s="9">
        <v>4</v>
      </c>
      <c r="H754" s="4">
        <f t="shared" si="100"/>
        <v>3.2</v>
      </c>
      <c r="J754" s="15"/>
      <c r="K754" s="4">
        <f t="shared" si="102"/>
        <v>0</v>
      </c>
      <c r="L754" s="6">
        <v>2</v>
      </c>
      <c r="M754" s="4">
        <f t="shared" si="101"/>
        <v>1.7142857142857142</v>
      </c>
    </row>
    <row r="755" spans="7:13" ht="19.5" thickBot="1">
      <c r="G755" s="9">
        <v>1.25</v>
      </c>
      <c r="H755" s="4">
        <f t="shared" si="100"/>
        <v>1</v>
      </c>
      <c r="J755" s="15">
        <v>5</v>
      </c>
      <c r="K755" s="4">
        <f t="shared" si="102"/>
        <v>3.5714285714285716</v>
      </c>
      <c r="L755" s="6">
        <v>1</v>
      </c>
      <c r="M755" s="4">
        <f t="shared" si="101"/>
        <v>0.8571428571428571</v>
      </c>
    </row>
    <row r="756" spans="7:13" ht="19.5" thickBot="1">
      <c r="G756" s="9">
        <v>3</v>
      </c>
      <c r="H756" s="4">
        <f t="shared" si="100"/>
        <v>2.4</v>
      </c>
      <c r="J756" s="15">
        <v>1</v>
      </c>
      <c r="K756" s="4">
        <f t="shared" si="102"/>
        <v>0.7142857142857143</v>
      </c>
      <c r="L756" s="6">
        <v>18</v>
      </c>
      <c r="M756" s="4">
        <f t="shared" si="101"/>
        <v>15.428571428571429</v>
      </c>
    </row>
    <row r="757" spans="7:13" ht="19.5" thickBot="1">
      <c r="G757" s="9">
        <v>200</v>
      </c>
      <c r="H757" s="4">
        <f t="shared" si="100"/>
        <v>160</v>
      </c>
      <c r="J757" s="15"/>
      <c r="K757" s="4">
        <f t="shared" si="102"/>
        <v>0</v>
      </c>
      <c r="L757" s="6">
        <v>70</v>
      </c>
      <c r="M757" s="4">
        <f t="shared" si="101"/>
        <v>60</v>
      </c>
    </row>
    <row r="758" spans="7:13" ht="19.5" thickBot="1">
      <c r="G758" s="9">
        <v>250</v>
      </c>
      <c r="H758" s="4">
        <f t="shared" si="100"/>
        <v>200</v>
      </c>
      <c r="J758" s="15">
        <v>53</v>
      </c>
      <c r="K758" s="4">
        <f t="shared" si="102"/>
        <v>37.857142857142854</v>
      </c>
      <c r="L758" s="6">
        <v>1.5</v>
      </c>
      <c r="M758" s="4">
        <f t="shared" si="101"/>
        <v>1.2857142857142858</v>
      </c>
    </row>
    <row r="759" spans="10:13" ht="19.5" thickBot="1">
      <c r="J759" s="27"/>
      <c r="K759" s="4">
        <f t="shared" si="102"/>
        <v>0</v>
      </c>
      <c r="L759" s="6">
        <v>16.3</v>
      </c>
      <c r="M759" s="4">
        <f t="shared" si="101"/>
        <v>13.971428571428572</v>
      </c>
    </row>
    <row r="760" spans="10:13" ht="19.5" thickBot="1">
      <c r="J760" s="27"/>
      <c r="K760" s="4">
        <f t="shared" si="102"/>
        <v>0</v>
      </c>
      <c r="L760" s="6">
        <v>0.2</v>
      </c>
      <c r="M760" s="4">
        <f t="shared" si="101"/>
        <v>0.17142857142857143</v>
      </c>
    </row>
    <row r="761" spans="10:13" ht="19.5" thickBot="1">
      <c r="J761" s="27">
        <v>3</v>
      </c>
      <c r="K761" s="4">
        <f t="shared" si="102"/>
        <v>2.142857142857143</v>
      </c>
      <c r="L761" s="6">
        <v>1</v>
      </c>
      <c r="M761" s="4">
        <f t="shared" si="101"/>
        <v>0.8571428571428571</v>
      </c>
    </row>
    <row r="762" spans="10:13" ht="19.5" thickBot="1">
      <c r="J762" s="9">
        <v>70</v>
      </c>
      <c r="K762" s="4">
        <f t="shared" si="102"/>
        <v>50</v>
      </c>
      <c r="L762" s="6">
        <v>70</v>
      </c>
      <c r="M762" s="4">
        <f t="shared" si="101"/>
        <v>60</v>
      </c>
    </row>
    <row r="763" spans="10:11" ht="19.5" thickBot="1">
      <c r="J763" s="9">
        <v>70</v>
      </c>
      <c r="K763" s="4">
        <f t="shared" si="102"/>
        <v>50</v>
      </c>
    </row>
    <row r="770" ht="19.5" thickBot="1"/>
    <row r="771" spans="9:10" ht="19.5" thickBot="1">
      <c r="I771" s="17">
        <v>240</v>
      </c>
      <c r="J771" s="4">
        <f>I771*200/250</f>
        <v>192</v>
      </c>
    </row>
    <row r="772" spans="9:10" ht="19.5" thickBot="1">
      <c r="I772" s="16">
        <v>257</v>
      </c>
      <c r="J772" s="4">
        <f aca="true" t="shared" si="103" ref="J772:J790">I772*200/250</f>
        <v>205.6</v>
      </c>
    </row>
    <row r="773" spans="9:14" ht="19.5" thickBot="1">
      <c r="I773" s="16">
        <v>276</v>
      </c>
      <c r="J773" s="4">
        <f t="shared" si="103"/>
        <v>220.8</v>
      </c>
      <c r="M773" s="13">
        <v>56</v>
      </c>
      <c r="N773" s="4">
        <f>M773*100/140</f>
        <v>40</v>
      </c>
    </row>
    <row r="774" spans="9:14" ht="19.5" thickBot="1">
      <c r="I774" s="16">
        <v>300</v>
      </c>
      <c r="J774" s="4">
        <f t="shared" si="103"/>
        <v>240</v>
      </c>
      <c r="M774" s="9">
        <v>56</v>
      </c>
      <c r="N774" s="4">
        <f>M774*100/140</f>
        <v>40</v>
      </c>
    </row>
    <row r="775" spans="9:14" ht="19.5" thickBot="1">
      <c r="I775" s="16"/>
      <c r="J775" s="4">
        <f t="shared" si="103"/>
        <v>0</v>
      </c>
      <c r="M775" s="9">
        <v>6</v>
      </c>
      <c r="N775" s="4">
        <f>M775*100/140</f>
        <v>4.285714285714286</v>
      </c>
    </row>
    <row r="776" spans="9:14" ht="19.5" thickBot="1">
      <c r="I776" s="16">
        <v>68</v>
      </c>
      <c r="J776" s="4">
        <f t="shared" si="103"/>
        <v>54.4</v>
      </c>
      <c r="M776" s="9">
        <v>28</v>
      </c>
      <c r="N776" s="4">
        <f>M776*100/140</f>
        <v>20</v>
      </c>
    </row>
    <row r="777" spans="4:14" ht="19.5" thickBot="1">
      <c r="D777" s="28">
        <v>0.6</v>
      </c>
      <c r="E777" s="4">
        <f aca="true" t="shared" si="104" ref="E777:E782">D777*150/180</f>
        <v>0.5</v>
      </c>
      <c r="I777" s="16"/>
      <c r="J777" s="4">
        <f t="shared" si="103"/>
        <v>0</v>
      </c>
      <c r="M777" s="29">
        <v>140</v>
      </c>
      <c r="N777" s="4">
        <f>M777*100/140</f>
        <v>100</v>
      </c>
    </row>
    <row r="778" spans="4:10" ht="19.5" thickBot="1">
      <c r="D778" s="29">
        <v>49.4</v>
      </c>
      <c r="E778" s="4">
        <f t="shared" si="104"/>
        <v>41.166666666666664</v>
      </c>
      <c r="I778" s="16"/>
      <c r="J778" s="4">
        <f t="shared" si="103"/>
        <v>0</v>
      </c>
    </row>
    <row r="779" spans="4:13" ht="19.5" thickBot="1">
      <c r="D779" s="29">
        <v>50</v>
      </c>
      <c r="E779" s="4">
        <f t="shared" si="104"/>
        <v>41.666666666666664</v>
      </c>
      <c r="I779" s="16">
        <v>67</v>
      </c>
      <c r="J779" s="4">
        <f t="shared" si="103"/>
        <v>53.6</v>
      </c>
      <c r="L779" s="25">
        <v>56</v>
      </c>
      <c r="M779" s="4">
        <f aca="true" t="shared" si="105" ref="M779:M784">L779*45/60</f>
        <v>42</v>
      </c>
    </row>
    <row r="780" spans="4:13" ht="19.5" thickBot="1">
      <c r="D780" s="29">
        <v>12</v>
      </c>
      <c r="E780" s="4">
        <f t="shared" si="104"/>
        <v>10</v>
      </c>
      <c r="I780" s="16">
        <v>72</v>
      </c>
      <c r="J780" s="4">
        <f t="shared" si="103"/>
        <v>57.6</v>
      </c>
      <c r="L780" s="26">
        <v>60</v>
      </c>
      <c r="M780" s="4">
        <f t="shared" si="105"/>
        <v>45</v>
      </c>
    </row>
    <row r="781" spans="4:13" ht="19.5" thickBot="1">
      <c r="D781" s="29">
        <v>50</v>
      </c>
      <c r="E781" s="4">
        <f t="shared" si="104"/>
        <v>41.666666666666664</v>
      </c>
      <c r="I781" s="16"/>
      <c r="J781" s="4">
        <f t="shared" si="103"/>
        <v>0</v>
      </c>
      <c r="L781" s="26">
        <v>44</v>
      </c>
      <c r="M781" s="4">
        <f t="shared" si="105"/>
        <v>33</v>
      </c>
    </row>
    <row r="782" spans="4:13" ht="19.5" thickBot="1">
      <c r="D782" s="29">
        <v>80</v>
      </c>
      <c r="E782" s="4">
        <f t="shared" si="104"/>
        <v>66.66666666666667</v>
      </c>
      <c r="I782" s="16">
        <v>30</v>
      </c>
      <c r="J782" s="4">
        <f t="shared" si="103"/>
        <v>24</v>
      </c>
      <c r="L782" s="26">
        <v>12</v>
      </c>
      <c r="M782" s="4">
        <f t="shared" si="105"/>
        <v>9</v>
      </c>
    </row>
    <row r="783" spans="9:13" ht="19.5" thickBot="1">
      <c r="I783" s="16"/>
      <c r="J783" s="4">
        <f t="shared" si="103"/>
        <v>0</v>
      </c>
      <c r="L783" s="26">
        <v>5</v>
      </c>
      <c r="M783" s="4">
        <f t="shared" si="105"/>
        <v>3.75</v>
      </c>
    </row>
    <row r="784" spans="4:13" ht="19.5" thickBot="1">
      <c r="D784" s="5">
        <v>2</v>
      </c>
      <c r="E784" s="4">
        <f>D784*50/60</f>
        <v>1.6666666666666667</v>
      </c>
      <c r="I784" s="16">
        <v>15</v>
      </c>
      <c r="J784" s="4">
        <f t="shared" si="103"/>
        <v>12</v>
      </c>
      <c r="L784" s="26">
        <v>60</v>
      </c>
      <c r="M784" s="4">
        <f t="shared" si="105"/>
        <v>45</v>
      </c>
    </row>
    <row r="785" spans="4:10" ht="19.5" thickBot="1">
      <c r="D785" s="6">
        <v>4</v>
      </c>
      <c r="E785" s="4">
        <f aca="true" t="shared" si="106" ref="E785:E790">D785*50/60</f>
        <v>3.3333333333333335</v>
      </c>
      <c r="I785" s="16">
        <v>13</v>
      </c>
      <c r="J785" s="4">
        <f t="shared" si="103"/>
        <v>10.4</v>
      </c>
    </row>
    <row r="786" spans="4:10" ht="19.5" thickBot="1">
      <c r="D786" s="6">
        <v>6</v>
      </c>
      <c r="E786" s="4">
        <f t="shared" si="106"/>
        <v>5</v>
      </c>
      <c r="I786" s="16">
        <v>10</v>
      </c>
      <c r="J786" s="4">
        <f t="shared" si="103"/>
        <v>8</v>
      </c>
    </row>
    <row r="787" spans="4:10" ht="19.5" thickBot="1">
      <c r="D787" s="6">
        <v>18</v>
      </c>
      <c r="E787" s="4">
        <f t="shared" si="106"/>
        <v>15</v>
      </c>
      <c r="I787" s="16">
        <v>7</v>
      </c>
      <c r="J787" s="4">
        <f t="shared" si="103"/>
        <v>5.6</v>
      </c>
    </row>
    <row r="788" spans="4:10" ht="19.5" thickBot="1">
      <c r="D788" s="6">
        <v>20.4</v>
      </c>
      <c r="E788" s="4">
        <f t="shared" si="106"/>
        <v>16.999999999999996</v>
      </c>
      <c r="I788" s="16">
        <v>13</v>
      </c>
      <c r="J788" s="4">
        <f t="shared" si="103"/>
        <v>10.4</v>
      </c>
    </row>
    <row r="789" spans="4:10" ht="19.5" thickBot="1">
      <c r="D789" s="6">
        <v>1.2</v>
      </c>
      <c r="E789" s="4">
        <f t="shared" si="106"/>
        <v>1</v>
      </c>
      <c r="I789" s="16">
        <v>293</v>
      </c>
      <c r="J789" s="4">
        <f t="shared" si="103"/>
        <v>234.4</v>
      </c>
    </row>
    <row r="790" spans="4:10" ht="19.5" thickBot="1">
      <c r="D790" s="6">
        <v>60</v>
      </c>
      <c r="E790" s="4">
        <f t="shared" si="106"/>
        <v>50</v>
      </c>
      <c r="I790" s="16">
        <v>250</v>
      </c>
      <c r="J790" s="4">
        <f t="shared" si="103"/>
        <v>200</v>
      </c>
    </row>
    <row r="792" ht="19.5" thickBot="1"/>
    <row r="793" spans="10:11" ht="19.5" thickBot="1">
      <c r="J793" s="25">
        <v>205</v>
      </c>
      <c r="K793" s="4">
        <f>J793*130/150</f>
        <v>177.66666666666666</v>
      </c>
    </row>
    <row r="794" spans="7:11" ht="19.5" thickBot="1">
      <c r="G794" s="5">
        <v>42</v>
      </c>
      <c r="H794" s="4">
        <f>G794*60/70</f>
        <v>36</v>
      </c>
      <c r="J794" s="26">
        <v>218</v>
      </c>
      <c r="K794" s="4">
        <f>J794*130/150</f>
        <v>188.93333333333334</v>
      </c>
    </row>
    <row r="795" spans="7:11" ht="19.5" thickBot="1">
      <c r="G795" s="6">
        <v>2</v>
      </c>
      <c r="H795" s="4">
        <f aca="true" t="shared" si="107" ref="H795:H802">G795*60/70</f>
        <v>1.7142857142857142</v>
      </c>
      <c r="J795" s="6">
        <v>5</v>
      </c>
      <c r="K795" s="4">
        <f>J795*130/150</f>
        <v>4.333333333333333</v>
      </c>
    </row>
    <row r="796" spans="7:11" ht="19.5" thickBot="1">
      <c r="G796" s="6">
        <v>9</v>
      </c>
      <c r="H796" s="4">
        <f t="shared" si="107"/>
        <v>7.714285714285714</v>
      </c>
      <c r="J796" s="6">
        <v>150</v>
      </c>
      <c r="K796" s="4">
        <f>J796*130/150</f>
        <v>130</v>
      </c>
    </row>
    <row r="797" spans="7:8" ht="19.5" thickBot="1">
      <c r="G797" s="6">
        <v>9</v>
      </c>
      <c r="H797" s="4">
        <f t="shared" si="107"/>
        <v>7.714285714285714</v>
      </c>
    </row>
    <row r="798" spans="7:8" ht="19.5" thickBot="1">
      <c r="G798" s="6">
        <v>2</v>
      </c>
      <c r="H798" s="4">
        <f t="shared" si="107"/>
        <v>1.7142857142857142</v>
      </c>
    </row>
    <row r="799" spans="7:11" ht="19.5" thickBot="1">
      <c r="G799" s="6">
        <v>1</v>
      </c>
      <c r="H799" s="4">
        <f t="shared" si="107"/>
        <v>0.8571428571428571</v>
      </c>
      <c r="J799" s="30">
        <v>18</v>
      </c>
      <c r="K799" s="4">
        <f>J799*45/60</f>
        <v>13.5</v>
      </c>
    </row>
    <row r="800" spans="7:11" ht="19.5" thickBot="1">
      <c r="G800" s="6">
        <v>65</v>
      </c>
      <c r="H800" s="4">
        <f t="shared" si="107"/>
        <v>55.714285714285715</v>
      </c>
      <c r="J800" s="27">
        <v>19</v>
      </c>
      <c r="K800" s="4">
        <f aca="true" t="shared" si="108" ref="K800:K817">J800*45/60</f>
        <v>14.25</v>
      </c>
    </row>
    <row r="801" spans="7:11" ht="19.5" thickBot="1">
      <c r="G801" s="6">
        <v>21</v>
      </c>
      <c r="H801" s="4">
        <f t="shared" si="107"/>
        <v>18</v>
      </c>
      <c r="J801" s="27">
        <v>21</v>
      </c>
      <c r="K801" s="4">
        <f t="shared" si="108"/>
        <v>15.75</v>
      </c>
    </row>
    <row r="802" spans="7:11" ht="19.5" thickBot="1">
      <c r="G802" s="6">
        <v>80</v>
      </c>
      <c r="H802" s="4">
        <f t="shared" si="107"/>
        <v>68.57142857142857</v>
      </c>
      <c r="J802" s="27">
        <v>22</v>
      </c>
      <c r="K802" s="4">
        <f t="shared" si="108"/>
        <v>16.5</v>
      </c>
    </row>
    <row r="803" spans="10:11" ht="19.5" thickBot="1">
      <c r="J803" s="27"/>
      <c r="K803" s="4">
        <f t="shared" si="108"/>
        <v>0</v>
      </c>
    </row>
    <row r="804" spans="10:11" ht="19.5" thickBot="1">
      <c r="J804" s="27"/>
      <c r="K804" s="4">
        <f t="shared" si="108"/>
        <v>0</v>
      </c>
    </row>
    <row r="805" spans="10:11" ht="19.5" thickBot="1">
      <c r="J805" s="27">
        <v>11.5</v>
      </c>
      <c r="K805" s="4">
        <f t="shared" si="108"/>
        <v>8.625</v>
      </c>
    </row>
    <row r="806" spans="10:11" ht="19.5" thickBot="1">
      <c r="J806" s="27">
        <v>12</v>
      </c>
      <c r="K806" s="4">
        <f t="shared" si="108"/>
        <v>9</v>
      </c>
    </row>
    <row r="807" spans="5:11" ht="19.5" thickBot="1">
      <c r="E807" s="30">
        <v>45</v>
      </c>
      <c r="F807" s="4">
        <f>E807*45/60</f>
        <v>33.75</v>
      </c>
      <c r="J807" s="27"/>
      <c r="K807" s="4">
        <f t="shared" si="108"/>
        <v>0</v>
      </c>
    </row>
    <row r="808" spans="5:11" ht="19.5" thickBot="1">
      <c r="E808" s="27">
        <v>48</v>
      </c>
      <c r="F808" s="4">
        <f aca="true" t="shared" si="109" ref="F808:F813">E808*45/60</f>
        <v>36</v>
      </c>
      <c r="J808" s="27"/>
      <c r="K808" s="4">
        <f t="shared" si="108"/>
        <v>0</v>
      </c>
    </row>
    <row r="809" spans="5:11" ht="19.5" thickBot="1">
      <c r="E809" s="27"/>
      <c r="F809" s="4">
        <f t="shared" si="109"/>
        <v>0</v>
      </c>
      <c r="J809" s="27">
        <v>7.6</v>
      </c>
      <c r="K809" s="4">
        <f t="shared" si="108"/>
        <v>5.7</v>
      </c>
    </row>
    <row r="810" spans="5:11" ht="19.5" thickBot="1">
      <c r="E810" s="15">
        <v>34</v>
      </c>
      <c r="F810" s="4">
        <f t="shared" si="109"/>
        <v>25.5</v>
      </c>
      <c r="J810" s="27">
        <v>8</v>
      </c>
      <c r="K810" s="4">
        <f t="shared" si="108"/>
        <v>6</v>
      </c>
    </row>
    <row r="811" spans="5:11" ht="19.5" thickBot="1">
      <c r="E811" s="15"/>
      <c r="F811" s="4">
        <f t="shared" si="109"/>
        <v>0</v>
      </c>
      <c r="J811" s="27"/>
      <c r="K811" s="4">
        <f t="shared" si="108"/>
        <v>0</v>
      </c>
    </row>
    <row r="812" spans="5:11" ht="19.5" thickBot="1">
      <c r="E812" s="15">
        <v>5</v>
      </c>
      <c r="F812" s="4">
        <f t="shared" si="109"/>
        <v>3.75</v>
      </c>
      <c r="J812" s="27">
        <v>16</v>
      </c>
      <c r="K812" s="4">
        <f t="shared" si="108"/>
        <v>12</v>
      </c>
    </row>
    <row r="813" spans="5:11" ht="19.5" thickBot="1">
      <c r="E813" s="9">
        <v>60</v>
      </c>
      <c r="F813" s="4">
        <f t="shared" si="109"/>
        <v>45</v>
      </c>
      <c r="J813" s="27">
        <v>15</v>
      </c>
      <c r="K813" s="4">
        <f t="shared" si="108"/>
        <v>11.25</v>
      </c>
    </row>
    <row r="814" spans="10:11" ht="19.5" thickBot="1">
      <c r="J814" s="27"/>
      <c r="K814" s="4">
        <f t="shared" si="108"/>
        <v>0</v>
      </c>
    </row>
    <row r="815" spans="10:11" ht="19.5" thickBot="1">
      <c r="J815" s="27">
        <v>11</v>
      </c>
      <c r="K815" s="4">
        <f t="shared" si="108"/>
        <v>8.25</v>
      </c>
    </row>
    <row r="816" spans="10:11" ht="19.5" thickBot="1">
      <c r="J816" s="27">
        <v>6</v>
      </c>
      <c r="K816" s="4">
        <f t="shared" si="108"/>
        <v>4.5</v>
      </c>
    </row>
    <row r="817" spans="10:11" ht="19.5" thickBot="1">
      <c r="J817" s="29">
        <v>60</v>
      </c>
      <c r="K817" s="4">
        <f t="shared" si="108"/>
        <v>45</v>
      </c>
    </row>
    <row r="818" ht="19.5" thickBot="1"/>
    <row r="819" spans="6:7" ht="19.5" thickBot="1">
      <c r="F819" s="13">
        <v>20</v>
      </c>
      <c r="G819" s="4">
        <f>F819*150/200</f>
        <v>15</v>
      </c>
    </row>
    <row r="820" spans="6:7" ht="19.5" thickBot="1">
      <c r="F820" s="9">
        <v>150</v>
      </c>
      <c r="G820" s="4">
        <f aca="true" t="shared" si="110" ref="G820:G825">F820*150/200</f>
        <v>112.5</v>
      </c>
    </row>
    <row r="821" spans="6:7" ht="19.5" thickBot="1">
      <c r="F821" s="9">
        <v>36</v>
      </c>
      <c r="G821" s="4">
        <f t="shared" si="110"/>
        <v>27</v>
      </c>
    </row>
    <row r="822" spans="6:7" ht="19.5" thickBot="1">
      <c r="F822" s="9">
        <v>5</v>
      </c>
      <c r="G822" s="4">
        <f t="shared" si="110"/>
        <v>3.75</v>
      </c>
    </row>
    <row r="823" spans="6:7" ht="19.5" thickBot="1">
      <c r="F823" s="9">
        <v>197</v>
      </c>
      <c r="G823" s="4">
        <f t="shared" si="110"/>
        <v>147.75</v>
      </c>
    </row>
    <row r="824" spans="6:10" ht="19.5" thickBot="1">
      <c r="F824" s="9">
        <v>3</v>
      </c>
      <c r="G824" s="4">
        <f t="shared" si="110"/>
        <v>2.25</v>
      </c>
      <c r="I824" s="34">
        <v>53</v>
      </c>
      <c r="J824" s="4">
        <f>I824*130/150</f>
        <v>45.93333333333333</v>
      </c>
    </row>
    <row r="825" spans="6:10" ht="19.5" thickBot="1">
      <c r="F825" s="9">
        <v>200</v>
      </c>
      <c r="G825" s="4">
        <f t="shared" si="110"/>
        <v>150</v>
      </c>
      <c r="I825" s="35">
        <v>318</v>
      </c>
      <c r="J825" s="4">
        <f aca="true" t="shared" si="111" ref="J825:J831">I825*130/150</f>
        <v>275.6</v>
      </c>
    </row>
    <row r="826" spans="9:10" ht="19.5" thickBot="1">
      <c r="I826" s="35"/>
      <c r="J826" s="4">
        <f t="shared" si="111"/>
        <v>0</v>
      </c>
    </row>
    <row r="827" spans="9:10" ht="19.5" thickBot="1">
      <c r="I827" s="35">
        <v>6</v>
      </c>
      <c r="J827" s="4">
        <f t="shared" si="111"/>
        <v>5.2</v>
      </c>
    </row>
    <row r="828" spans="9:10" ht="19.5" thickBot="1">
      <c r="I828" s="35">
        <v>12.8</v>
      </c>
      <c r="J828" s="4">
        <f t="shared" si="111"/>
        <v>11.093333333333334</v>
      </c>
    </row>
    <row r="829" spans="9:10" ht="19.5" thickBot="1">
      <c r="I829" s="32">
        <v>167.6</v>
      </c>
      <c r="J829" s="4">
        <f t="shared" si="111"/>
        <v>145.25333333333333</v>
      </c>
    </row>
    <row r="830" spans="9:10" ht="19.5" thickBot="1">
      <c r="I830" s="32">
        <v>150</v>
      </c>
      <c r="J830" s="4">
        <f t="shared" si="111"/>
        <v>130</v>
      </c>
    </row>
    <row r="831" spans="9:10" ht="19.5" thickBot="1">
      <c r="I831" s="32">
        <v>150</v>
      </c>
      <c r="J831" s="4">
        <f t="shared" si="111"/>
        <v>130</v>
      </c>
    </row>
    <row r="833" ht="19.5" thickBot="1"/>
    <row r="834" spans="5:6" ht="19.5" thickBot="1">
      <c r="E834" s="25">
        <v>60</v>
      </c>
      <c r="F834" s="4">
        <f>E834*45/60</f>
        <v>45</v>
      </c>
    </row>
    <row r="835" spans="5:6" ht="19.5" thickBot="1">
      <c r="E835" s="26">
        <v>64</v>
      </c>
      <c r="F835" s="4">
        <f aca="true" t="shared" si="112" ref="F835:F840">E835*45/60</f>
        <v>48</v>
      </c>
    </row>
    <row r="836" spans="5:6" ht="19.5" thickBot="1">
      <c r="E836" s="26"/>
      <c r="F836" s="4">
        <f t="shared" si="112"/>
        <v>0</v>
      </c>
    </row>
    <row r="837" spans="5:6" ht="19.5" thickBot="1">
      <c r="E837" s="26">
        <v>8</v>
      </c>
      <c r="F837" s="4">
        <f t="shared" si="112"/>
        <v>6</v>
      </c>
    </row>
    <row r="838" spans="5:6" ht="19.5" thickBot="1">
      <c r="E838" s="26">
        <v>2</v>
      </c>
      <c r="F838" s="4">
        <f t="shared" si="112"/>
        <v>1.5</v>
      </c>
    </row>
    <row r="839" spans="5:6" ht="19.5" thickBot="1">
      <c r="E839" s="26">
        <v>3</v>
      </c>
      <c r="F839" s="4">
        <f t="shared" si="112"/>
        <v>2.25</v>
      </c>
    </row>
    <row r="840" spans="5:6" ht="19.5" thickBot="1">
      <c r="E840" s="26">
        <v>60</v>
      </c>
      <c r="F840" s="4">
        <f t="shared" si="112"/>
        <v>45</v>
      </c>
    </row>
    <row r="846" ht="19.5" thickBot="1"/>
    <row r="847" spans="8:9" ht="19.5" thickBot="1">
      <c r="H847" s="5">
        <v>1</v>
      </c>
      <c r="I847" s="4">
        <f aca="true" t="shared" si="113" ref="I847:I852">H847*20/30</f>
        <v>0.6666666666666666</v>
      </c>
    </row>
    <row r="848" spans="8:9" ht="19.5" thickBot="1">
      <c r="H848" s="6">
        <v>1</v>
      </c>
      <c r="I848" s="4">
        <f t="shared" si="113"/>
        <v>0.6666666666666666</v>
      </c>
    </row>
    <row r="849" spans="8:9" ht="19.5" thickBot="1">
      <c r="H849" s="6">
        <v>17</v>
      </c>
      <c r="I849" s="4">
        <f t="shared" si="113"/>
        <v>11.333333333333334</v>
      </c>
    </row>
    <row r="850" spans="8:9" ht="19.5" thickBot="1">
      <c r="H850" s="6">
        <v>15</v>
      </c>
      <c r="I850" s="4">
        <f t="shared" si="113"/>
        <v>10</v>
      </c>
    </row>
    <row r="851" spans="8:9" ht="19.5" thickBot="1">
      <c r="H851" s="6">
        <v>15</v>
      </c>
      <c r="I851" s="4">
        <f t="shared" si="113"/>
        <v>10</v>
      </c>
    </row>
    <row r="852" spans="8:9" ht="19.5" thickBot="1">
      <c r="H852" s="6">
        <v>30</v>
      </c>
      <c r="I852" s="4">
        <f t="shared" si="113"/>
        <v>20</v>
      </c>
    </row>
    <row r="853" ht="19.5" thickBot="1"/>
    <row r="854" spans="5:10" ht="19.5" thickBot="1">
      <c r="E854" s="14">
        <v>38</v>
      </c>
      <c r="F854" s="4">
        <f>E854*100/130</f>
        <v>29.23076923076923</v>
      </c>
      <c r="I854" s="13">
        <v>46</v>
      </c>
      <c r="J854" s="4">
        <f>I854*100/130</f>
        <v>35.38461538461539</v>
      </c>
    </row>
    <row r="855" spans="5:10" ht="19.5" thickBot="1">
      <c r="E855" s="15">
        <v>229</v>
      </c>
      <c r="F855" s="4">
        <f aca="true" t="shared" si="114" ref="F855:F865">E855*100/130</f>
        <v>176.15384615384616</v>
      </c>
      <c r="I855" s="9">
        <v>276</v>
      </c>
      <c r="J855" s="4">
        <f aca="true" t="shared" si="115" ref="J855:J861">I855*100/130</f>
        <v>212.30769230769232</v>
      </c>
    </row>
    <row r="856" spans="5:10" ht="19.5" thickBot="1">
      <c r="E856" s="15"/>
      <c r="F856" s="4">
        <f t="shared" si="114"/>
        <v>0</v>
      </c>
      <c r="I856" s="9">
        <v>130</v>
      </c>
      <c r="J856" s="4">
        <f t="shared" si="115"/>
        <v>100</v>
      </c>
    </row>
    <row r="857" spans="5:10" ht="19.5" thickBot="1">
      <c r="E857" s="15">
        <v>2.6</v>
      </c>
      <c r="F857" s="4">
        <f t="shared" si="114"/>
        <v>2</v>
      </c>
      <c r="I857" s="9">
        <v>5</v>
      </c>
      <c r="J857" s="4">
        <f t="shared" si="115"/>
        <v>3.8461538461538463</v>
      </c>
    </row>
    <row r="858" spans="5:10" ht="19.5" thickBot="1">
      <c r="E858" s="15"/>
      <c r="F858" s="4">
        <f t="shared" si="114"/>
        <v>0</v>
      </c>
      <c r="I858" s="9">
        <v>10</v>
      </c>
      <c r="J858" s="4">
        <f t="shared" si="115"/>
        <v>7.6923076923076925</v>
      </c>
    </row>
    <row r="859" spans="5:10" ht="19.5" thickBot="1">
      <c r="E859" s="15">
        <v>23</v>
      </c>
      <c r="F859" s="4">
        <f t="shared" si="114"/>
        <v>17.692307692307693</v>
      </c>
      <c r="I859" s="9">
        <v>145</v>
      </c>
      <c r="J859" s="4">
        <f t="shared" si="115"/>
        <v>111.53846153846153</v>
      </c>
    </row>
    <row r="860" spans="5:10" ht="19.5" thickBot="1">
      <c r="E860" s="15">
        <v>24</v>
      </c>
      <c r="F860" s="4">
        <f t="shared" si="114"/>
        <v>18.46153846153846</v>
      </c>
      <c r="I860" s="9">
        <v>130</v>
      </c>
      <c r="J860" s="4">
        <f t="shared" si="115"/>
        <v>100</v>
      </c>
    </row>
    <row r="861" spans="5:10" ht="19.5" thickBot="1">
      <c r="E861" s="15">
        <v>13</v>
      </c>
      <c r="F861" s="4">
        <f t="shared" si="114"/>
        <v>10</v>
      </c>
      <c r="I861" s="9">
        <v>130</v>
      </c>
      <c r="J861" s="4">
        <f t="shared" si="115"/>
        <v>100</v>
      </c>
    </row>
    <row r="862" spans="5:6" ht="19.5" thickBot="1">
      <c r="E862" s="15">
        <v>7</v>
      </c>
      <c r="F862" s="4">
        <f t="shared" si="114"/>
        <v>5.384615384615385</v>
      </c>
    </row>
    <row r="863" spans="5:6" ht="19.5" thickBot="1">
      <c r="E863" s="15">
        <v>4</v>
      </c>
      <c r="F863" s="4">
        <f t="shared" si="114"/>
        <v>3.076923076923077</v>
      </c>
    </row>
    <row r="864" spans="5:6" ht="19.5" thickBot="1">
      <c r="E864" s="9">
        <v>26</v>
      </c>
      <c r="F864" s="4">
        <f t="shared" si="114"/>
        <v>20</v>
      </c>
    </row>
    <row r="865" spans="5:12" ht="19.5" thickBot="1">
      <c r="E865" s="9">
        <v>130</v>
      </c>
      <c r="F865" s="4">
        <f t="shared" si="114"/>
        <v>100</v>
      </c>
      <c r="K865" s="28">
        <v>128</v>
      </c>
      <c r="L865" s="4">
        <f>K865*180/150</f>
        <v>153.6</v>
      </c>
    </row>
    <row r="866" spans="8:12" ht="19.5" thickBot="1">
      <c r="H866" s="14">
        <v>147</v>
      </c>
      <c r="I866" s="4">
        <f>H866*140/130</f>
        <v>158.30769230769232</v>
      </c>
      <c r="K866" s="29">
        <v>128</v>
      </c>
      <c r="L866" s="4">
        <f aca="true" t="shared" si="116" ref="L866:L872">K866*180/150</f>
        <v>153.6</v>
      </c>
    </row>
    <row r="867" spans="8:12" ht="19.5" thickBot="1">
      <c r="H867" s="15">
        <v>159</v>
      </c>
      <c r="I867" s="4">
        <f aca="true" t="shared" si="117" ref="I867:I873">H867*140/130</f>
        <v>171.23076923076923</v>
      </c>
      <c r="K867" s="29">
        <v>128</v>
      </c>
      <c r="L867" s="4">
        <f t="shared" si="116"/>
        <v>153.6</v>
      </c>
    </row>
    <row r="868" spans="3:12" ht="19.5" thickBot="1">
      <c r="C868" s="14">
        <v>39</v>
      </c>
      <c r="D868" s="4">
        <f>C868*100/130</f>
        <v>30</v>
      </c>
      <c r="H868" s="15">
        <v>171</v>
      </c>
      <c r="I868" s="4">
        <f t="shared" si="117"/>
        <v>184.15384615384616</v>
      </c>
      <c r="K868" s="29">
        <v>128</v>
      </c>
      <c r="L868" s="4">
        <f t="shared" si="116"/>
        <v>153.6</v>
      </c>
    </row>
    <row r="869" spans="3:12" ht="19.5" thickBot="1">
      <c r="C869" s="15">
        <v>8</v>
      </c>
      <c r="D869" s="4">
        <f aca="true" t="shared" si="118" ref="D869:D879">C869*100/130</f>
        <v>6.153846153846154</v>
      </c>
      <c r="H869" s="15">
        <v>185</v>
      </c>
      <c r="I869" s="4">
        <f t="shared" si="117"/>
        <v>199.23076923076923</v>
      </c>
      <c r="K869" s="9">
        <v>24</v>
      </c>
      <c r="L869" s="4">
        <f t="shared" si="116"/>
        <v>28.8</v>
      </c>
    </row>
    <row r="870" spans="3:12" ht="19.5" thickBot="1">
      <c r="C870" s="15"/>
      <c r="D870" s="4">
        <f t="shared" si="118"/>
        <v>0</v>
      </c>
      <c r="H870" s="9">
        <v>21</v>
      </c>
      <c r="I870" s="4">
        <f t="shared" si="117"/>
        <v>22.615384615384617</v>
      </c>
      <c r="K870" s="9">
        <v>23</v>
      </c>
      <c r="L870" s="4">
        <f t="shared" si="116"/>
        <v>27.6</v>
      </c>
    </row>
    <row r="871" spans="3:12" ht="19.5" thickBot="1">
      <c r="C871" s="15">
        <v>2.6</v>
      </c>
      <c r="D871" s="4">
        <f t="shared" si="118"/>
        <v>2</v>
      </c>
      <c r="H871" s="9">
        <v>20</v>
      </c>
      <c r="I871" s="4">
        <f t="shared" si="117"/>
        <v>21.53846153846154</v>
      </c>
      <c r="K871" s="9">
        <v>5</v>
      </c>
      <c r="L871" s="4">
        <f t="shared" si="116"/>
        <v>6</v>
      </c>
    </row>
    <row r="872" spans="3:12" ht="19.5" thickBot="1">
      <c r="C872" s="15"/>
      <c r="D872" s="4">
        <f t="shared" si="118"/>
        <v>0</v>
      </c>
      <c r="H872" s="9">
        <v>4</v>
      </c>
      <c r="I872" s="4">
        <f t="shared" si="117"/>
        <v>4.3076923076923075</v>
      </c>
      <c r="K872" s="9">
        <v>150</v>
      </c>
      <c r="L872" s="4">
        <f t="shared" si="116"/>
        <v>180</v>
      </c>
    </row>
    <row r="873" spans="3:9" ht="19.5" thickBot="1">
      <c r="C873" s="15">
        <v>23</v>
      </c>
      <c r="D873" s="4">
        <f t="shared" si="118"/>
        <v>17.692307692307693</v>
      </c>
      <c r="H873" s="9">
        <v>130</v>
      </c>
      <c r="I873" s="4">
        <f t="shared" si="117"/>
        <v>140</v>
      </c>
    </row>
    <row r="874" spans="3:4" ht="19.5" thickBot="1">
      <c r="C874" s="15">
        <v>24</v>
      </c>
      <c r="D874" s="4">
        <f t="shared" si="118"/>
        <v>18.46153846153846</v>
      </c>
    </row>
    <row r="875" spans="3:4" ht="19.5" thickBot="1">
      <c r="C875" s="15">
        <v>13</v>
      </c>
      <c r="D875" s="4">
        <f t="shared" si="118"/>
        <v>10</v>
      </c>
    </row>
    <row r="876" spans="3:9" ht="19.5" thickBot="1">
      <c r="C876" s="15">
        <v>7</v>
      </c>
      <c r="D876" s="4">
        <f t="shared" si="118"/>
        <v>5.384615384615385</v>
      </c>
      <c r="H876" s="5">
        <v>18</v>
      </c>
      <c r="I876" s="4">
        <f>H876*180/150</f>
        <v>21.6</v>
      </c>
    </row>
    <row r="877" spans="3:9" ht="19.5" thickBot="1">
      <c r="C877" s="15">
        <v>4</v>
      </c>
      <c r="D877" s="4">
        <f t="shared" si="118"/>
        <v>3.076923076923077</v>
      </c>
      <c r="H877" s="6">
        <v>143</v>
      </c>
      <c r="I877" s="4">
        <f>H877*180/150</f>
        <v>171.6</v>
      </c>
    </row>
    <row r="878" spans="3:9" ht="19.5" thickBot="1">
      <c r="C878" s="9">
        <v>26</v>
      </c>
      <c r="D878" s="4">
        <f t="shared" si="118"/>
        <v>20</v>
      </c>
      <c r="H878" s="6">
        <v>150</v>
      </c>
      <c r="I878" s="4">
        <f>H878*180/150</f>
        <v>180</v>
      </c>
    </row>
    <row r="879" spans="3:4" ht="19.5" thickBot="1">
      <c r="C879" s="9">
        <v>130</v>
      </c>
      <c r="D879" s="4">
        <f t="shared" si="118"/>
        <v>100</v>
      </c>
    </row>
    <row r="880" ht="19.5" thickBot="1"/>
    <row r="881" spans="10:11" ht="19.5" thickBot="1">
      <c r="J881" s="5">
        <v>22</v>
      </c>
      <c r="K881" s="4">
        <f>J881*160/180</f>
        <v>19.555555555555557</v>
      </c>
    </row>
    <row r="882" spans="10:11" ht="19.5" thickBot="1">
      <c r="J882" s="6">
        <v>178</v>
      </c>
      <c r="K882" s="4">
        <f>J882*160/180</f>
        <v>158.22222222222223</v>
      </c>
    </row>
    <row r="883" spans="10:11" ht="19.5" thickBot="1">
      <c r="J883" s="6">
        <v>180</v>
      </c>
      <c r="K883" s="4">
        <f>J883*160/180</f>
        <v>160</v>
      </c>
    </row>
    <row r="885" ht="19.5" thickBot="1"/>
    <row r="886" spans="6:14" ht="19.5" thickBot="1">
      <c r="F886" s="36">
        <v>5.8</v>
      </c>
      <c r="G886" s="37">
        <v>5</v>
      </c>
      <c r="H886" s="37">
        <v>9.6</v>
      </c>
      <c r="I886" s="37">
        <v>108</v>
      </c>
      <c r="J886" s="37">
        <v>240</v>
      </c>
      <c r="K886" s="37">
        <v>0.2</v>
      </c>
      <c r="L886" s="37">
        <v>0.08</v>
      </c>
      <c r="M886" s="37">
        <v>0.3</v>
      </c>
      <c r="N886" s="37">
        <v>2.6</v>
      </c>
    </row>
    <row r="887" spans="6:14" ht="18.75">
      <c r="F887" s="4">
        <f>F886*150/200</f>
        <v>4.35</v>
      </c>
      <c r="G887" s="4">
        <f aca="true" t="shared" si="119" ref="G887:N887">G886*150/200</f>
        <v>3.75</v>
      </c>
      <c r="H887" s="4">
        <f t="shared" si="119"/>
        <v>7.2</v>
      </c>
      <c r="I887" s="4">
        <f t="shared" si="119"/>
        <v>81</v>
      </c>
      <c r="J887" s="4">
        <f t="shared" si="119"/>
        <v>180</v>
      </c>
      <c r="K887" s="4">
        <f t="shared" si="119"/>
        <v>0.15</v>
      </c>
      <c r="L887" s="4">
        <f t="shared" si="119"/>
        <v>0.06</v>
      </c>
      <c r="M887" s="4">
        <f t="shared" si="119"/>
        <v>0.225</v>
      </c>
      <c r="N887" s="4">
        <f t="shared" si="119"/>
        <v>1.95</v>
      </c>
    </row>
    <row r="889" ht="19.5" thickBot="1"/>
    <row r="890" spans="7:15" ht="19.5" thickBot="1">
      <c r="G890" s="36">
        <v>0.12</v>
      </c>
      <c r="H890" s="37">
        <v>0.12</v>
      </c>
      <c r="I890" s="37">
        <v>11.92</v>
      </c>
      <c r="J890" s="37">
        <v>45</v>
      </c>
      <c r="K890" s="37">
        <v>4.98</v>
      </c>
      <c r="L890" s="37">
        <v>0.69</v>
      </c>
      <c r="M890" s="37">
        <v>0.01</v>
      </c>
      <c r="N890" s="37">
        <v>0.01</v>
      </c>
      <c r="O890" s="37">
        <v>4.95</v>
      </c>
    </row>
    <row r="891" spans="7:15" ht="18.75">
      <c r="G891" s="4">
        <f>G890*200/150</f>
        <v>0.16</v>
      </c>
      <c r="H891" s="4">
        <f aca="true" t="shared" si="120" ref="H891:O891">H890*200/150</f>
        <v>0.16</v>
      </c>
      <c r="I891" s="4">
        <f t="shared" si="120"/>
        <v>15.893333333333333</v>
      </c>
      <c r="J891" s="4">
        <f t="shared" si="120"/>
        <v>60</v>
      </c>
      <c r="K891" s="4">
        <f t="shared" si="120"/>
        <v>6.640000000000001</v>
      </c>
      <c r="L891" s="4">
        <f t="shared" si="120"/>
        <v>0.92</v>
      </c>
      <c r="M891" s="4">
        <f t="shared" si="120"/>
        <v>0.013333333333333334</v>
      </c>
      <c r="N891" s="4">
        <f t="shared" si="120"/>
        <v>0.013333333333333334</v>
      </c>
      <c r="O891" s="4">
        <f t="shared" si="120"/>
        <v>6.6</v>
      </c>
    </row>
    <row r="894" ht="19.5" thickBot="1"/>
    <row r="895" spans="6:14" ht="19.5" thickBot="1">
      <c r="F895" s="36">
        <v>6.21</v>
      </c>
      <c r="G895" s="37">
        <v>7.73</v>
      </c>
      <c r="H895" s="37">
        <v>27.71</v>
      </c>
      <c r="I895" s="37">
        <v>201</v>
      </c>
      <c r="J895" s="37">
        <v>182.36</v>
      </c>
      <c r="K895" s="37">
        <v>0.5</v>
      </c>
      <c r="L895" s="37">
        <v>0.1</v>
      </c>
      <c r="M895" s="37">
        <v>0.1</v>
      </c>
      <c r="N895" s="37">
        <v>1.95</v>
      </c>
    </row>
    <row r="896" spans="6:14" ht="18.75">
      <c r="F896" s="4">
        <f>F895*150/200</f>
        <v>4.6575</v>
      </c>
      <c r="G896" s="4">
        <f aca="true" t="shared" si="121" ref="G896:N896">G895*150/200</f>
        <v>5.7975</v>
      </c>
      <c r="H896" s="4">
        <f t="shared" si="121"/>
        <v>20.7825</v>
      </c>
      <c r="I896" s="4">
        <f t="shared" si="121"/>
        <v>150.75</v>
      </c>
      <c r="J896" s="4">
        <f t="shared" si="121"/>
        <v>136.77</v>
      </c>
      <c r="K896" s="4">
        <f t="shared" si="121"/>
        <v>0.375</v>
      </c>
      <c r="L896" s="4">
        <f t="shared" si="121"/>
        <v>0.075</v>
      </c>
      <c r="M896" s="4">
        <f t="shared" si="121"/>
        <v>0.075</v>
      </c>
      <c r="N896" s="4">
        <f t="shared" si="121"/>
        <v>1.4625</v>
      </c>
    </row>
    <row r="898" ht="19.5" thickBot="1"/>
    <row r="899" spans="8:16" ht="19.5" thickBot="1">
      <c r="H899" s="36">
        <v>8.57</v>
      </c>
      <c r="I899" s="37">
        <v>11.2</v>
      </c>
      <c r="J899" s="37">
        <v>3.02</v>
      </c>
      <c r="K899" s="37">
        <v>126</v>
      </c>
      <c r="L899" s="37">
        <v>14.18</v>
      </c>
      <c r="M899" s="37">
        <v>0.97</v>
      </c>
      <c r="N899" s="37">
        <v>0.04</v>
      </c>
      <c r="O899" s="37">
        <v>0.03</v>
      </c>
      <c r="P899" s="37">
        <v>1.81</v>
      </c>
    </row>
    <row r="900" spans="8:16" ht="18.75">
      <c r="H900" s="4">
        <f>H899*60/80</f>
        <v>6.4275</v>
      </c>
      <c r="I900" s="4">
        <f aca="true" t="shared" si="122" ref="I900:P900">I899*60/80</f>
        <v>8.4</v>
      </c>
      <c r="J900" s="4">
        <f t="shared" si="122"/>
        <v>2.2649999999999997</v>
      </c>
      <c r="K900" s="4">
        <f t="shared" si="122"/>
        <v>94.5</v>
      </c>
      <c r="L900" s="4">
        <f t="shared" si="122"/>
        <v>10.635</v>
      </c>
      <c r="M900" s="4">
        <f t="shared" si="122"/>
        <v>0.7274999999999999</v>
      </c>
      <c r="N900" s="4">
        <f t="shared" si="122"/>
        <v>0.03</v>
      </c>
      <c r="O900" s="4">
        <f t="shared" si="122"/>
        <v>0.0225</v>
      </c>
      <c r="P900" s="4">
        <f t="shared" si="122"/>
        <v>1.3575000000000002</v>
      </c>
    </row>
    <row r="901" ht="19.5" thickBot="1"/>
    <row r="902" spans="8:16" ht="19.5" thickBot="1">
      <c r="H902" s="36">
        <v>0.93</v>
      </c>
      <c r="I902" s="37">
        <v>4.88</v>
      </c>
      <c r="J902" s="37">
        <v>5.53</v>
      </c>
      <c r="K902" s="37">
        <v>70</v>
      </c>
      <c r="L902" s="37">
        <v>26.52</v>
      </c>
      <c r="M902" s="37">
        <v>0.49</v>
      </c>
      <c r="N902" s="37">
        <v>0.03</v>
      </c>
      <c r="O902" s="37">
        <v>0.01</v>
      </c>
      <c r="P902" s="37">
        <v>2.2</v>
      </c>
    </row>
    <row r="903" spans="8:16" ht="18.75">
      <c r="H903" s="4">
        <f>H902*45/60</f>
        <v>0.6975</v>
      </c>
      <c r="I903" s="4">
        <f aca="true" t="shared" si="123" ref="I903:P903">I902*45/60</f>
        <v>3.6599999999999997</v>
      </c>
      <c r="J903" s="4">
        <f t="shared" si="123"/>
        <v>4.1475</v>
      </c>
      <c r="K903" s="4">
        <f t="shared" si="123"/>
        <v>52.5</v>
      </c>
      <c r="L903" s="4">
        <f t="shared" si="123"/>
        <v>19.89</v>
      </c>
      <c r="M903" s="4">
        <f t="shared" si="123"/>
        <v>0.3675</v>
      </c>
      <c r="N903" s="4">
        <f t="shared" si="123"/>
        <v>0.0225</v>
      </c>
      <c r="O903" s="4">
        <f t="shared" si="123"/>
        <v>0.007500000000000001</v>
      </c>
      <c r="P903" s="4">
        <f t="shared" si="123"/>
        <v>1.6500000000000001</v>
      </c>
    </row>
    <row r="904" ht="19.5" thickBot="1"/>
    <row r="905" spans="7:15" ht="19.5" thickBot="1">
      <c r="G905" s="36">
        <v>4.79</v>
      </c>
      <c r="H905" s="37">
        <v>8.76</v>
      </c>
      <c r="I905" s="37">
        <v>47.55</v>
      </c>
      <c r="J905" s="37">
        <v>288</v>
      </c>
      <c r="K905" s="37">
        <v>18.98</v>
      </c>
      <c r="L905" s="37">
        <v>0.65</v>
      </c>
      <c r="M905" s="37">
        <v>0.06</v>
      </c>
      <c r="N905" s="37">
        <v>0.02</v>
      </c>
      <c r="O905" s="37">
        <v>0.009</v>
      </c>
    </row>
    <row r="906" spans="7:15" ht="18.75">
      <c r="G906" s="4">
        <f>G905*60/70</f>
        <v>4.105714285714285</v>
      </c>
      <c r="H906" s="4">
        <f aca="true" t="shared" si="124" ref="H906:O906">H905*60/70</f>
        <v>7.508571428571429</v>
      </c>
      <c r="I906" s="4">
        <f t="shared" si="124"/>
        <v>40.75714285714286</v>
      </c>
      <c r="J906" s="4">
        <f t="shared" si="124"/>
        <v>246.85714285714286</v>
      </c>
      <c r="K906" s="4">
        <f t="shared" si="124"/>
        <v>16.268571428571427</v>
      </c>
      <c r="L906" s="4">
        <f t="shared" si="124"/>
        <v>0.5571428571428572</v>
      </c>
      <c r="M906" s="4">
        <f t="shared" si="124"/>
        <v>0.05142857142857142</v>
      </c>
      <c r="N906" s="4">
        <f t="shared" si="124"/>
        <v>0.017142857142857144</v>
      </c>
      <c r="O906" s="4">
        <f t="shared" si="124"/>
        <v>0.0077142857142857135</v>
      </c>
    </row>
    <row r="908" ht="19.5" thickBot="1"/>
    <row r="909" spans="5:13" ht="19.5" thickBot="1">
      <c r="E909" s="36">
        <v>9.2</v>
      </c>
      <c r="F909" s="37">
        <v>12.18</v>
      </c>
      <c r="G909" s="37">
        <v>5.19</v>
      </c>
      <c r="H909" s="37">
        <v>165</v>
      </c>
      <c r="I909" s="37">
        <v>104.3</v>
      </c>
      <c r="J909" s="37">
        <v>1.64</v>
      </c>
      <c r="K909" s="37">
        <v>0.08</v>
      </c>
      <c r="L909" s="37">
        <v>0.06</v>
      </c>
      <c r="M909" s="37">
        <v>3.53</v>
      </c>
    </row>
    <row r="910" spans="5:13" ht="18.75">
      <c r="E910" s="4">
        <f>E909*100/140</f>
        <v>6.57142857142857</v>
      </c>
      <c r="F910" s="4">
        <f aca="true" t="shared" si="125" ref="F910:M910">F909*100/140</f>
        <v>8.7</v>
      </c>
      <c r="G910" s="4">
        <f t="shared" si="125"/>
        <v>3.7071428571428573</v>
      </c>
      <c r="H910" s="4">
        <f t="shared" si="125"/>
        <v>117.85714285714286</v>
      </c>
      <c r="I910" s="4">
        <f t="shared" si="125"/>
        <v>74.5</v>
      </c>
      <c r="J910" s="4">
        <f t="shared" si="125"/>
        <v>1.1714285714285715</v>
      </c>
      <c r="K910" s="4">
        <f t="shared" si="125"/>
        <v>0.05714285714285714</v>
      </c>
      <c r="L910" s="4">
        <f t="shared" si="125"/>
        <v>0.04285714285714286</v>
      </c>
      <c r="M910" s="4">
        <f t="shared" si="125"/>
        <v>2.5214285714285714</v>
      </c>
    </row>
    <row r="911" ht="19.5" thickBot="1"/>
    <row r="912" spans="6:14" ht="19.5" thickBot="1">
      <c r="F912" s="36">
        <v>0.69</v>
      </c>
      <c r="G912" s="37">
        <v>6.04</v>
      </c>
      <c r="H912" s="37">
        <v>2.78</v>
      </c>
      <c r="I912" s="37">
        <v>69</v>
      </c>
      <c r="J912" s="37">
        <v>13.05</v>
      </c>
      <c r="K912" s="37">
        <v>0.35</v>
      </c>
      <c r="L912" s="37">
        <v>0.01</v>
      </c>
      <c r="M912" s="37">
        <v>0.01</v>
      </c>
      <c r="N912" s="37">
        <v>3.45</v>
      </c>
    </row>
    <row r="913" spans="6:14" ht="18.75">
      <c r="F913" s="4">
        <f>F912*45/60</f>
        <v>0.5175</v>
      </c>
      <c r="G913" s="4">
        <f aca="true" t="shared" si="126" ref="G913:N913">G912*45/60</f>
        <v>4.53</v>
      </c>
      <c r="H913" s="4">
        <f t="shared" si="126"/>
        <v>2.085</v>
      </c>
      <c r="I913" s="4">
        <f t="shared" si="126"/>
        <v>51.75</v>
      </c>
      <c r="J913" s="4">
        <f t="shared" si="126"/>
        <v>9.7875</v>
      </c>
      <c r="K913" s="4">
        <f t="shared" si="126"/>
        <v>0.26249999999999996</v>
      </c>
      <c r="L913" s="4">
        <f t="shared" si="126"/>
        <v>0.007500000000000001</v>
      </c>
      <c r="M913" s="4">
        <f t="shared" si="126"/>
        <v>0.007500000000000001</v>
      </c>
      <c r="N913" s="4">
        <f t="shared" si="126"/>
        <v>2.5875</v>
      </c>
    </row>
    <row r="915" ht="19.5" thickBot="1"/>
    <row r="916" spans="11:12" ht="19.5" thickBot="1">
      <c r="K916" s="25">
        <v>2</v>
      </c>
      <c r="L916" s="4">
        <f>K916*50/30</f>
        <v>3.3333333333333335</v>
      </c>
    </row>
    <row r="917" spans="11:12" ht="19.5" thickBot="1">
      <c r="K917" s="26">
        <v>1</v>
      </c>
      <c r="L917" s="4">
        <f aca="true" t="shared" si="127" ref="L917:L924">K917*50/30</f>
        <v>1.6666666666666667</v>
      </c>
    </row>
    <row r="918" spans="11:12" ht="19.5" thickBot="1">
      <c r="K918" s="26">
        <v>3</v>
      </c>
      <c r="L918" s="4">
        <f t="shared" si="127"/>
        <v>5</v>
      </c>
    </row>
    <row r="919" spans="11:12" ht="19.5" thickBot="1">
      <c r="K919" s="26">
        <v>1</v>
      </c>
      <c r="L919" s="4">
        <f t="shared" si="127"/>
        <v>1.6666666666666667</v>
      </c>
    </row>
    <row r="920" spans="11:12" ht="19.5" thickBot="1">
      <c r="K920" s="26"/>
      <c r="L920" s="4">
        <f t="shared" si="127"/>
        <v>0</v>
      </c>
    </row>
    <row r="921" spans="11:12" ht="19.5" thickBot="1">
      <c r="K921" s="26">
        <v>2</v>
      </c>
      <c r="L921" s="4">
        <f t="shared" si="127"/>
        <v>3.3333333333333335</v>
      </c>
    </row>
    <row r="922" spans="11:12" ht="19.5" thickBot="1">
      <c r="K922" s="26">
        <v>2</v>
      </c>
      <c r="L922" s="4">
        <f t="shared" si="127"/>
        <v>3.3333333333333335</v>
      </c>
    </row>
    <row r="923" spans="8:12" ht="19.5" thickBot="1">
      <c r="H923" s="25">
        <v>2</v>
      </c>
      <c r="I923" s="4">
        <f>H923*50/30</f>
        <v>3.3333333333333335</v>
      </c>
      <c r="K923" s="26">
        <v>30</v>
      </c>
      <c r="L923" s="4">
        <f t="shared" si="127"/>
        <v>50</v>
      </c>
    </row>
    <row r="924" spans="8:12" ht="19.5" thickBot="1">
      <c r="H924" s="26">
        <v>1</v>
      </c>
      <c r="I924" s="4">
        <f aca="true" t="shared" si="128" ref="I924:I931">H924*50/30</f>
        <v>1.6666666666666667</v>
      </c>
      <c r="K924" s="26">
        <v>30</v>
      </c>
      <c r="L924" s="4">
        <f t="shared" si="127"/>
        <v>50</v>
      </c>
    </row>
    <row r="925" spans="8:15" ht="19.5" thickBot="1">
      <c r="H925" s="26">
        <v>3</v>
      </c>
      <c r="I925" s="4">
        <f t="shared" si="128"/>
        <v>5</v>
      </c>
      <c r="N925" s="25">
        <v>2</v>
      </c>
      <c r="O925" s="4">
        <f>N925*50/30</f>
        <v>3.3333333333333335</v>
      </c>
    </row>
    <row r="926" spans="8:15" ht="19.5" thickBot="1">
      <c r="H926" s="26">
        <v>1.2</v>
      </c>
      <c r="I926" s="4">
        <f t="shared" si="128"/>
        <v>2</v>
      </c>
      <c r="N926" s="26">
        <v>1</v>
      </c>
      <c r="O926" s="4">
        <f aca="true" t="shared" si="129" ref="O926:O933">N926*50/30</f>
        <v>1.6666666666666667</v>
      </c>
    </row>
    <row r="927" spans="8:15" ht="19.5" thickBot="1">
      <c r="H927" s="26"/>
      <c r="I927" s="4">
        <f t="shared" si="128"/>
        <v>0</v>
      </c>
      <c r="N927" s="26">
        <v>3</v>
      </c>
      <c r="O927" s="4">
        <f t="shared" si="129"/>
        <v>5</v>
      </c>
    </row>
    <row r="928" spans="8:15" ht="19.5" thickBot="1">
      <c r="H928" s="26">
        <v>2.4</v>
      </c>
      <c r="I928" s="4">
        <f t="shared" si="128"/>
        <v>4</v>
      </c>
      <c r="N928" s="26">
        <v>1</v>
      </c>
      <c r="O928" s="4">
        <f t="shared" si="129"/>
        <v>1.6666666666666667</v>
      </c>
    </row>
    <row r="929" spans="8:15" ht="19.5" thickBot="1">
      <c r="H929" s="26">
        <v>2.7</v>
      </c>
      <c r="I929" s="4">
        <f t="shared" si="128"/>
        <v>4.5</v>
      </c>
      <c r="N929" s="26"/>
      <c r="O929" s="4">
        <f t="shared" si="129"/>
        <v>0</v>
      </c>
    </row>
    <row r="930" spans="8:15" ht="19.5" thickBot="1">
      <c r="H930" s="26">
        <v>30</v>
      </c>
      <c r="I930" s="4">
        <f t="shared" si="128"/>
        <v>50</v>
      </c>
      <c r="N930" s="26">
        <v>2</v>
      </c>
      <c r="O930" s="4">
        <f t="shared" si="129"/>
        <v>3.3333333333333335</v>
      </c>
    </row>
    <row r="931" spans="8:15" ht="19.5" thickBot="1">
      <c r="H931" s="26">
        <v>30</v>
      </c>
      <c r="I931" s="4">
        <f t="shared" si="128"/>
        <v>50</v>
      </c>
      <c r="N931" s="26">
        <v>2</v>
      </c>
      <c r="O931" s="4">
        <f t="shared" si="129"/>
        <v>3.3333333333333335</v>
      </c>
    </row>
    <row r="932" spans="14:15" ht="19.5" thickBot="1">
      <c r="N932" s="26">
        <v>30</v>
      </c>
      <c r="O932" s="4">
        <f t="shared" si="129"/>
        <v>50</v>
      </c>
    </row>
    <row r="933" spans="7:15" ht="19.5" thickBot="1">
      <c r="G933" s="5">
        <v>219</v>
      </c>
      <c r="H933" s="4">
        <f>G933*180/150</f>
        <v>262.8</v>
      </c>
      <c r="N933" s="26">
        <v>30</v>
      </c>
      <c r="O933" s="4">
        <f t="shared" si="129"/>
        <v>50</v>
      </c>
    </row>
    <row r="934" spans="7:8" ht="19.5" thickBot="1">
      <c r="G934" s="6">
        <v>233</v>
      </c>
      <c r="H934" s="4">
        <f>G934*180/150</f>
        <v>279.6</v>
      </c>
    </row>
    <row r="935" spans="7:8" ht="19.5" thickBot="1">
      <c r="G935" s="6">
        <v>5</v>
      </c>
      <c r="H935" s="4">
        <f>G935*180/150</f>
        <v>6</v>
      </c>
    </row>
    <row r="936" spans="7:8" ht="19.5" thickBot="1">
      <c r="G936" s="6">
        <v>160</v>
      </c>
      <c r="H936" s="4">
        <f>G936*180/150</f>
        <v>192</v>
      </c>
    </row>
    <row r="937" spans="10:11" ht="19.5" thickBot="1">
      <c r="J937" s="5">
        <v>2</v>
      </c>
      <c r="K937" s="4">
        <f>J937*30/50</f>
        <v>1.2</v>
      </c>
    </row>
    <row r="938" spans="10:11" ht="19.5" thickBot="1">
      <c r="J938" s="6">
        <v>2</v>
      </c>
      <c r="K938" s="4">
        <f aca="true" t="shared" si="130" ref="K938:K945">J938*30/50</f>
        <v>1.2</v>
      </c>
    </row>
    <row r="939" spans="10:11" ht="19.5" thickBot="1">
      <c r="J939" s="6">
        <v>2.4</v>
      </c>
      <c r="K939" s="4">
        <f t="shared" si="130"/>
        <v>1.44</v>
      </c>
    </row>
    <row r="940" spans="10:11" ht="19.5" thickBot="1">
      <c r="J940" s="6"/>
      <c r="K940" s="4">
        <f t="shared" si="130"/>
        <v>0</v>
      </c>
    </row>
    <row r="941" spans="10:11" ht="19.5" thickBot="1">
      <c r="J941" s="6">
        <v>8</v>
      </c>
      <c r="K941" s="4">
        <f t="shared" si="130"/>
        <v>4.8</v>
      </c>
    </row>
    <row r="942" spans="10:11" ht="19.5" thickBot="1">
      <c r="J942" s="6">
        <v>9</v>
      </c>
      <c r="K942" s="4">
        <f t="shared" si="130"/>
        <v>5.4</v>
      </c>
    </row>
    <row r="943" spans="10:11" ht="19.5" thickBot="1">
      <c r="J943" s="6">
        <v>50</v>
      </c>
      <c r="K943" s="4">
        <f t="shared" si="130"/>
        <v>30</v>
      </c>
    </row>
    <row r="944" spans="10:11" ht="19.5" thickBot="1">
      <c r="J944" s="6">
        <v>50</v>
      </c>
      <c r="K944" s="4">
        <f t="shared" si="130"/>
        <v>30</v>
      </c>
    </row>
    <row r="945" spans="10:11" ht="19.5" thickBot="1">
      <c r="J945" s="6">
        <v>50</v>
      </c>
      <c r="K945" s="4">
        <f t="shared" si="130"/>
        <v>30</v>
      </c>
    </row>
    <row r="946" ht="19.5" thickBot="1"/>
    <row r="947" spans="16:17" ht="19.5" thickBot="1">
      <c r="P947" s="5">
        <v>41</v>
      </c>
      <c r="Q947" s="4">
        <f>P947*180/150</f>
        <v>49.2</v>
      </c>
    </row>
    <row r="948" spans="13:17" ht="19.5" thickBot="1">
      <c r="M948" s="5">
        <v>65</v>
      </c>
      <c r="N948" s="4">
        <f>M948*20/48</f>
        <v>27.083333333333332</v>
      </c>
      <c r="P948" s="6">
        <v>44</v>
      </c>
      <c r="Q948" s="4">
        <f aca="true" t="shared" si="131" ref="Q948:Q959">P948*180/150</f>
        <v>52.8</v>
      </c>
    </row>
    <row r="949" spans="13:17" ht="19.5" thickBot="1">
      <c r="M949" s="6">
        <v>69</v>
      </c>
      <c r="N949" s="4">
        <f>M949*20/48</f>
        <v>28.75</v>
      </c>
      <c r="P949" s="6">
        <v>47</v>
      </c>
      <c r="Q949" s="4">
        <f t="shared" si="131"/>
        <v>56.4</v>
      </c>
    </row>
    <row r="950" spans="13:17" ht="19.5" thickBot="1">
      <c r="M950" s="6">
        <v>75</v>
      </c>
      <c r="N950" s="4">
        <f>M950*20/48</f>
        <v>31.25</v>
      </c>
      <c r="P950" s="6">
        <v>50</v>
      </c>
      <c r="Q950" s="4">
        <f t="shared" si="131"/>
        <v>60</v>
      </c>
    </row>
    <row r="951" spans="13:17" ht="19.5" thickBot="1">
      <c r="M951" s="6">
        <v>79</v>
      </c>
      <c r="N951" s="4">
        <f>M951*20/48</f>
        <v>32.916666666666664</v>
      </c>
      <c r="P951" s="21"/>
      <c r="Q951" s="4">
        <f t="shared" si="131"/>
        <v>0</v>
      </c>
    </row>
    <row r="952" spans="5:17" ht="19.5" thickBot="1">
      <c r="E952" s="18">
        <v>38</v>
      </c>
      <c r="F952" s="4">
        <f>E952*70/55</f>
        <v>48.36363636363637</v>
      </c>
      <c r="P952" s="21">
        <v>38</v>
      </c>
      <c r="Q952" s="4">
        <f t="shared" si="131"/>
        <v>45.6</v>
      </c>
    </row>
    <row r="953" spans="5:17" ht="19.5" thickBot="1">
      <c r="E953" s="19">
        <v>8</v>
      </c>
      <c r="F953" s="4">
        <f aca="true" t="shared" si="132" ref="F953:F960">E953*70/55</f>
        <v>10.181818181818182</v>
      </c>
      <c r="P953" s="21">
        <v>39</v>
      </c>
      <c r="Q953" s="4">
        <f t="shared" si="131"/>
        <v>46.8</v>
      </c>
    </row>
    <row r="954" spans="5:17" ht="19.5" thickBot="1">
      <c r="E954" s="19">
        <v>11</v>
      </c>
      <c r="F954" s="4">
        <f t="shared" si="132"/>
        <v>14</v>
      </c>
      <c r="M954" s="5">
        <v>27</v>
      </c>
      <c r="N954" s="4">
        <f>M954*30/20</f>
        <v>40.5</v>
      </c>
      <c r="P954" s="6">
        <v>15</v>
      </c>
      <c r="Q954" s="4">
        <f t="shared" si="131"/>
        <v>18</v>
      </c>
    </row>
    <row r="955" spans="5:17" ht="19.5" thickBot="1">
      <c r="E955" s="19">
        <v>4</v>
      </c>
      <c r="F955" s="4">
        <f t="shared" si="132"/>
        <v>5.090909090909091</v>
      </c>
      <c r="M955" s="6">
        <v>29</v>
      </c>
      <c r="N955" s="4">
        <f>M955*30/20</f>
        <v>43.5</v>
      </c>
      <c r="P955" s="6">
        <v>81</v>
      </c>
      <c r="Q955" s="4">
        <f t="shared" si="131"/>
        <v>97.2</v>
      </c>
    </row>
    <row r="956" spans="5:17" ht="19.5" thickBot="1">
      <c r="E956" s="19">
        <v>5</v>
      </c>
      <c r="F956" s="4">
        <f t="shared" si="132"/>
        <v>6.363636363636363</v>
      </c>
      <c r="I956" s="20">
        <v>128</v>
      </c>
      <c r="J956" s="4">
        <f>I956*45/59</f>
        <v>97.62711864406779</v>
      </c>
      <c r="M956" s="6">
        <v>31</v>
      </c>
      <c r="N956" s="4">
        <f>M956*30/20</f>
        <v>46.5</v>
      </c>
      <c r="P956" s="6">
        <v>45</v>
      </c>
      <c r="Q956" s="4">
        <f t="shared" si="131"/>
        <v>54</v>
      </c>
    </row>
    <row r="957" spans="5:17" ht="19.5" thickBot="1">
      <c r="E957" s="19">
        <v>65</v>
      </c>
      <c r="F957" s="4">
        <f t="shared" si="132"/>
        <v>82.72727272727273</v>
      </c>
      <c r="I957" s="21">
        <v>107</v>
      </c>
      <c r="J957" s="4">
        <f aca="true" t="shared" si="133" ref="J957:J962">I957*45/59</f>
        <v>81.61016949152543</v>
      </c>
      <c r="M957" s="6">
        <v>33</v>
      </c>
      <c r="N957" s="4">
        <f>M957*30/20</f>
        <v>49.5</v>
      </c>
      <c r="P957" s="6">
        <v>0.015</v>
      </c>
      <c r="Q957" s="4">
        <f t="shared" si="131"/>
        <v>0.018</v>
      </c>
    </row>
    <row r="958" spans="5:17" ht="19.5" thickBot="1">
      <c r="E958" s="19">
        <v>5</v>
      </c>
      <c r="F958" s="4">
        <f t="shared" si="132"/>
        <v>6.363636363636363</v>
      </c>
      <c r="I958" s="21">
        <v>123</v>
      </c>
      <c r="J958" s="4">
        <f t="shared" si="133"/>
        <v>93.8135593220339</v>
      </c>
      <c r="P958" s="21">
        <v>5</v>
      </c>
      <c r="Q958" s="4">
        <f t="shared" si="131"/>
        <v>6</v>
      </c>
    </row>
    <row r="959" spans="5:17" ht="19.5" thickBot="1">
      <c r="E959" s="19">
        <v>55</v>
      </c>
      <c r="F959" s="4">
        <f t="shared" si="132"/>
        <v>70</v>
      </c>
      <c r="I959" s="21">
        <v>106</v>
      </c>
      <c r="J959" s="4">
        <f t="shared" si="133"/>
        <v>80.84745762711864</v>
      </c>
      <c r="P959" s="21">
        <v>150</v>
      </c>
      <c r="Q959" s="4">
        <f t="shared" si="131"/>
        <v>180</v>
      </c>
    </row>
    <row r="960" spans="5:10" ht="19.5" thickBot="1">
      <c r="E960" s="19">
        <v>55</v>
      </c>
      <c r="F960" s="4">
        <f t="shared" si="132"/>
        <v>70</v>
      </c>
      <c r="I960" s="21">
        <v>140</v>
      </c>
      <c r="J960" s="4">
        <f t="shared" si="133"/>
        <v>106.77966101694915</v>
      </c>
    </row>
    <row r="961" spans="9:13" ht="19.5" thickBot="1">
      <c r="I961" s="21">
        <v>103</v>
      </c>
      <c r="J961" s="4">
        <f t="shared" si="133"/>
        <v>78.55932203389831</v>
      </c>
      <c r="L961" s="5">
        <v>97</v>
      </c>
      <c r="M961" s="4">
        <f>L961*50/70</f>
        <v>69.28571428571429</v>
      </c>
    </row>
    <row r="962" spans="9:19" ht="19.5" thickBot="1">
      <c r="I962" s="21">
        <v>68</v>
      </c>
      <c r="J962" s="4">
        <f t="shared" si="133"/>
        <v>51.86440677966102</v>
      </c>
      <c r="L962" s="6">
        <v>82</v>
      </c>
      <c r="M962" s="4">
        <f aca="true" t="shared" si="134" ref="M962:M974">L962*50/70</f>
        <v>58.57142857142857</v>
      </c>
      <c r="R962" s="23">
        <v>66</v>
      </c>
      <c r="S962" s="4">
        <f>R962*50/70</f>
        <v>47.142857142857146</v>
      </c>
    </row>
    <row r="963" spans="12:19" ht="19.5" thickBot="1">
      <c r="L963" s="6">
        <v>94</v>
      </c>
      <c r="M963" s="4">
        <f t="shared" si="134"/>
        <v>67.14285714285714</v>
      </c>
      <c r="O963" s="18">
        <v>53</v>
      </c>
      <c r="P963" s="4">
        <f aca="true" t="shared" si="135" ref="P963:P968">O963*50/70</f>
        <v>37.857142857142854</v>
      </c>
      <c r="R963" s="24">
        <v>10</v>
      </c>
      <c r="S963" s="4">
        <f aca="true" t="shared" si="136" ref="S963:S970">R963*50/70</f>
        <v>7.142857142857143</v>
      </c>
    </row>
    <row r="964" spans="12:19" ht="19.5" thickBot="1">
      <c r="L964" s="6">
        <v>81</v>
      </c>
      <c r="M964" s="4">
        <f t="shared" si="134"/>
        <v>57.857142857142854</v>
      </c>
      <c r="O964" s="19">
        <v>11</v>
      </c>
      <c r="P964" s="4">
        <f t="shared" si="135"/>
        <v>7.857142857142857</v>
      </c>
      <c r="R964" s="24">
        <v>14</v>
      </c>
      <c r="S964" s="4">
        <f t="shared" si="136"/>
        <v>10</v>
      </c>
    </row>
    <row r="965" spans="7:19" ht="19.5" thickBot="1">
      <c r="G965" s="18">
        <v>53</v>
      </c>
      <c r="H965" s="4">
        <f aca="true" t="shared" si="137" ref="H965:H970">G965*80/70</f>
        <v>60.57142857142857</v>
      </c>
      <c r="L965" s="6">
        <v>107</v>
      </c>
      <c r="M965" s="4">
        <f t="shared" si="134"/>
        <v>76.42857142857143</v>
      </c>
      <c r="O965" s="19">
        <v>18</v>
      </c>
      <c r="P965" s="4">
        <f t="shared" si="135"/>
        <v>12.857142857142858</v>
      </c>
      <c r="R965" s="24">
        <v>6</v>
      </c>
      <c r="S965" s="4">
        <f t="shared" si="136"/>
        <v>4.285714285714286</v>
      </c>
    </row>
    <row r="966" spans="7:19" ht="19.5" thickBot="1">
      <c r="G966" s="19">
        <v>11</v>
      </c>
      <c r="H966" s="4">
        <f t="shared" si="137"/>
        <v>12.571428571428571</v>
      </c>
      <c r="L966" s="6">
        <v>79</v>
      </c>
      <c r="M966" s="4">
        <f t="shared" si="134"/>
        <v>56.42857142857143</v>
      </c>
      <c r="O966" s="19">
        <v>2</v>
      </c>
      <c r="P966" s="4">
        <f t="shared" si="135"/>
        <v>1.4285714285714286</v>
      </c>
      <c r="R966" s="24">
        <v>6</v>
      </c>
      <c r="S966" s="4">
        <f t="shared" si="136"/>
        <v>4.285714285714286</v>
      </c>
    </row>
    <row r="967" spans="7:19" ht="19.5" thickBot="1">
      <c r="G967" s="19">
        <v>18</v>
      </c>
      <c r="H967" s="4">
        <f t="shared" si="137"/>
        <v>20.571428571428573</v>
      </c>
      <c r="L967" s="6">
        <v>52</v>
      </c>
      <c r="M967" s="4">
        <f t="shared" si="134"/>
        <v>37.142857142857146</v>
      </c>
      <c r="O967" s="19">
        <v>82</v>
      </c>
      <c r="P967" s="4">
        <f t="shared" si="135"/>
        <v>58.57142857142857</v>
      </c>
      <c r="R967" s="24"/>
      <c r="S967" s="4">
        <f t="shared" si="136"/>
        <v>0</v>
      </c>
    </row>
    <row r="968" spans="7:19" ht="19.5" thickBot="1">
      <c r="G968" s="19">
        <v>2</v>
      </c>
      <c r="H968" s="4">
        <f t="shared" si="137"/>
        <v>2.2857142857142856</v>
      </c>
      <c r="L968" s="21">
        <v>9</v>
      </c>
      <c r="M968" s="4">
        <f t="shared" si="134"/>
        <v>6.428571428571429</v>
      </c>
      <c r="O968" s="19">
        <v>70</v>
      </c>
      <c r="P968" s="4">
        <f t="shared" si="135"/>
        <v>50</v>
      </c>
      <c r="R968" s="24">
        <v>6</v>
      </c>
      <c r="S968" s="4">
        <f t="shared" si="136"/>
        <v>4.285714285714286</v>
      </c>
    </row>
    <row r="969" spans="7:19" ht="19.5" thickBot="1">
      <c r="G969" s="19">
        <v>82</v>
      </c>
      <c r="H969" s="4">
        <f t="shared" si="137"/>
        <v>93.71428571428571</v>
      </c>
      <c r="L969" s="21">
        <v>14</v>
      </c>
      <c r="M969" s="4">
        <f t="shared" si="134"/>
        <v>10</v>
      </c>
      <c r="R969" s="9">
        <v>70</v>
      </c>
      <c r="S969" s="4">
        <f t="shared" si="136"/>
        <v>50</v>
      </c>
    </row>
    <row r="970" spans="7:19" ht="19.5" thickBot="1">
      <c r="G970" s="19">
        <v>70</v>
      </c>
      <c r="H970" s="4">
        <f t="shared" si="137"/>
        <v>80</v>
      </c>
      <c r="L970" s="21">
        <v>11</v>
      </c>
      <c r="M970" s="4">
        <f t="shared" si="134"/>
        <v>7.857142857142857</v>
      </c>
      <c r="R970" s="9">
        <v>70</v>
      </c>
      <c r="S970" s="4">
        <f t="shared" si="136"/>
        <v>50</v>
      </c>
    </row>
    <row r="971" spans="12:13" ht="19.5" thickBot="1">
      <c r="L971" s="21">
        <v>4</v>
      </c>
      <c r="M971" s="4">
        <f t="shared" si="134"/>
        <v>2.857142857142857</v>
      </c>
    </row>
    <row r="972" spans="12:13" ht="19.5" thickBot="1">
      <c r="L972" s="21">
        <v>6</v>
      </c>
      <c r="M972" s="4">
        <f t="shared" si="134"/>
        <v>4.285714285714286</v>
      </c>
    </row>
    <row r="973" spans="12:13" ht="19.5" thickBot="1">
      <c r="L973" s="21">
        <v>83</v>
      </c>
      <c r="M973" s="4">
        <f t="shared" si="134"/>
        <v>59.285714285714285</v>
      </c>
    </row>
    <row r="974" spans="12:13" ht="19.5" thickBot="1">
      <c r="L974" s="21">
        <v>70</v>
      </c>
      <c r="M974" s="4">
        <f t="shared" si="134"/>
        <v>50</v>
      </c>
    </row>
    <row r="975" ht="19.5" thickBot="1"/>
    <row r="976" spans="17:18" ht="19.5" thickBot="1">
      <c r="Q976" s="20">
        <v>140</v>
      </c>
      <c r="R976" s="4">
        <f>Q976*70/80</f>
        <v>122.5</v>
      </c>
    </row>
    <row r="977" spans="17:18" ht="19.5" thickBot="1">
      <c r="Q977" s="21">
        <v>129</v>
      </c>
      <c r="R977" s="4">
        <f aca="true" t="shared" si="138" ref="R977:R990">Q977*70/80</f>
        <v>112.875</v>
      </c>
    </row>
    <row r="978" spans="17:18" ht="19.5" thickBot="1">
      <c r="Q978" s="21">
        <v>114</v>
      </c>
      <c r="R978" s="4">
        <f t="shared" si="138"/>
        <v>99.75</v>
      </c>
    </row>
    <row r="979" spans="17:18" ht="19.5" thickBot="1">
      <c r="Q979" s="21"/>
      <c r="R979" s="4">
        <f t="shared" si="138"/>
        <v>0</v>
      </c>
    </row>
    <row r="980" spans="17:18" ht="19.5" thickBot="1">
      <c r="Q980" s="21">
        <v>3</v>
      </c>
      <c r="R980" s="4">
        <f t="shared" si="138"/>
        <v>2.625</v>
      </c>
    </row>
    <row r="981" spans="17:18" ht="19.5" thickBot="1">
      <c r="Q981" s="21">
        <v>6</v>
      </c>
      <c r="R981" s="4">
        <f t="shared" si="138"/>
        <v>5.25</v>
      </c>
    </row>
    <row r="982" spans="11:18" ht="19.5" thickBot="1">
      <c r="K982" s="23">
        <v>113</v>
      </c>
      <c r="L982" s="4">
        <f>K982*80/100</f>
        <v>90.4</v>
      </c>
      <c r="Q982" s="21">
        <v>6</v>
      </c>
      <c r="R982" s="4">
        <f t="shared" si="138"/>
        <v>5.25</v>
      </c>
    </row>
    <row r="983" spans="11:18" ht="19.5" thickBot="1">
      <c r="K983" s="24">
        <v>91</v>
      </c>
      <c r="L983" s="4">
        <f aca="true" t="shared" si="139" ref="L983:L993">K983*80/100</f>
        <v>72.8</v>
      </c>
      <c r="Q983" s="21">
        <v>1</v>
      </c>
      <c r="R983" s="4">
        <f t="shared" si="138"/>
        <v>0.875</v>
      </c>
    </row>
    <row r="984" spans="11:18" ht="19.5" thickBot="1">
      <c r="K984" s="24">
        <v>5</v>
      </c>
      <c r="L984" s="4">
        <f t="shared" si="139"/>
        <v>4</v>
      </c>
      <c r="Q984" s="21">
        <v>0.8</v>
      </c>
      <c r="R984" s="4">
        <f t="shared" si="138"/>
        <v>0.7</v>
      </c>
    </row>
    <row r="985" spans="11:18" ht="19.5" thickBot="1">
      <c r="K985" s="24">
        <v>5</v>
      </c>
      <c r="L985" s="4">
        <f t="shared" si="139"/>
        <v>4</v>
      </c>
      <c r="Q985" s="21">
        <v>3</v>
      </c>
      <c r="R985" s="4">
        <f t="shared" si="138"/>
        <v>2.625</v>
      </c>
    </row>
    <row r="986" spans="11:18" ht="19.5" thickBot="1">
      <c r="K986" s="24"/>
      <c r="L986" s="4">
        <f t="shared" si="139"/>
        <v>0</v>
      </c>
      <c r="Q986" s="21"/>
      <c r="R986" s="4">
        <f t="shared" si="138"/>
        <v>0</v>
      </c>
    </row>
    <row r="987" spans="11:18" ht="19.5" thickBot="1">
      <c r="K987" s="24">
        <v>5</v>
      </c>
      <c r="L987" s="4">
        <f t="shared" si="139"/>
        <v>4</v>
      </c>
      <c r="Q987" s="21">
        <v>8.8</v>
      </c>
      <c r="R987" s="4">
        <f t="shared" si="138"/>
        <v>7.7</v>
      </c>
    </row>
    <row r="988" spans="11:18" ht="19.5" thickBot="1">
      <c r="K988" s="24">
        <v>5.3</v>
      </c>
      <c r="L988" s="4">
        <f t="shared" si="139"/>
        <v>4.24</v>
      </c>
      <c r="Q988" s="21">
        <v>9.3</v>
      </c>
      <c r="R988" s="4">
        <f t="shared" si="138"/>
        <v>8.1375</v>
      </c>
    </row>
    <row r="989" spans="11:18" ht="19.5" thickBot="1">
      <c r="K989" s="24">
        <v>7</v>
      </c>
      <c r="L989" s="4">
        <f t="shared" si="139"/>
        <v>5.6</v>
      </c>
      <c r="Q989" s="21">
        <v>31</v>
      </c>
      <c r="R989" s="4">
        <f t="shared" si="138"/>
        <v>27.125</v>
      </c>
    </row>
    <row r="990" spans="11:18" ht="19.5" thickBot="1">
      <c r="K990" s="24">
        <v>2</v>
      </c>
      <c r="L990" s="4">
        <f t="shared" si="139"/>
        <v>1.6</v>
      </c>
      <c r="Q990" s="21">
        <v>80</v>
      </c>
      <c r="R990" s="4">
        <f t="shared" si="138"/>
        <v>70</v>
      </c>
    </row>
    <row r="991" spans="11:12" ht="19.5" thickBot="1">
      <c r="K991" s="19">
        <v>50</v>
      </c>
      <c r="L991" s="4">
        <f t="shared" si="139"/>
        <v>40</v>
      </c>
    </row>
    <row r="992" spans="11:12" ht="19.5" thickBot="1">
      <c r="K992" s="19">
        <v>50</v>
      </c>
      <c r="L992" s="4">
        <f t="shared" si="139"/>
        <v>40</v>
      </c>
    </row>
    <row r="993" spans="11:12" ht="19.5" thickBot="1">
      <c r="K993" s="19">
        <v>100</v>
      </c>
      <c r="L993" s="4">
        <f t="shared" si="139"/>
        <v>80</v>
      </c>
    </row>
    <row r="995" ht="19.5" thickBot="1"/>
    <row r="996" spans="6:7" ht="19.5" thickBot="1">
      <c r="F996" s="20">
        <v>105</v>
      </c>
      <c r="G996" s="4">
        <f>F996*65/60</f>
        <v>113.75</v>
      </c>
    </row>
    <row r="997" spans="6:13" ht="19.5" thickBot="1">
      <c r="F997" s="21">
        <v>97</v>
      </c>
      <c r="G997" s="4">
        <f aca="true" t="shared" si="140" ref="G997:G1010">F997*65/60</f>
        <v>105.08333333333333</v>
      </c>
      <c r="I997" s="5">
        <v>69</v>
      </c>
      <c r="J997" s="4">
        <f>I997*70/50</f>
        <v>96.6</v>
      </c>
      <c r="L997" s="5">
        <v>97</v>
      </c>
      <c r="M997" s="4">
        <f>L997*80/70</f>
        <v>110.85714285714286</v>
      </c>
    </row>
    <row r="998" spans="6:17" ht="19.5" thickBot="1">
      <c r="F998" s="21">
        <v>86</v>
      </c>
      <c r="G998" s="4">
        <f t="shared" si="140"/>
        <v>93.16666666666667</v>
      </c>
      <c r="I998" s="6">
        <v>59</v>
      </c>
      <c r="J998" s="4">
        <f aca="true" t="shared" si="141" ref="J998:J1011">I998*70/50</f>
        <v>82.6</v>
      </c>
      <c r="L998" s="6">
        <v>82</v>
      </c>
      <c r="M998" s="4">
        <f aca="true" t="shared" si="142" ref="M998:M1011">L998*80/70</f>
        <v>93.71428571428571</v>
      </c>
      <c r="P998" s="5">
        <v>19</v>
      </c>
      <c r="Q998" s="4">
        <f aca="true" t="shared" si="143" ref="Q998:Q1003">P998*70/95</f>
        <v>14</v>
      </c>
    </row>
    <row r="999" spans="6:17" ht="19.5" thickBot="1">
      <c r="F999" s="21"/>
      <c r="G999" s="4">
        <f t="shared" si="140"/>
        <v>0</v>
      </c>
      <c r="I999" s="6">
        <v>67</v>
      </c>
      <c r="J999" s="4">
        <f t="shared" si="141"/>
        <v>93.8</v>
      </c>
      <c r="L999" s="6">
        <v>94</v>
      </c>
      <c r="M999" s="4">
        <f t="shared" si="142"/>
        <v>107.42857142857143</v>
      </c>
      <c r="P999" s="6">
        <v>30</v>
      </c>
      <c r="Q999" s="4">
        <f t="shared" si="143"/>
        <v>22.105263157894736</v>
      </c>
    </row>
    <row r="1000" spans="6:17" ht="19.5" thickBot="1">
      <c r="F1000" s="21">
        <v>2</v>
      </c>
      <c r="G1000" s="4">
        <f t="shared" si="140"/>
        <v>2.1666666666666665</v>
      </c>
      <c r="I1000" s="6">
        <v>58</v>
      </c>
      <c r="J1000" s="4">
        <f t="shared" si="141"/>
        <v>81.2</v>
      </c>
      <c r="L1000" s="6">
        <v>81</v>
      </c>
      <c r="M1000" s="4">
        <f t="shared" si="142"/>
        <v>92.57142857142857</v>
      </c>
      <c r="P1000" s="6">
        <v>7</v>
      </c>
      <c r="Q1000" s="4">
        <f t="shared" si="143"/>
        <v>5.157894736842105</v>
      </c>
    </row>
    <row r="1001" spans="6:17" ht="19.5" thickBot="1">
      <c r="F1001" s="21">
        <v>5</v>
      </c>
      <c r="G1001" s="4">
        <f t="shared" si="140"/>
        <v>5.416666666666667</v>
      </c>
      <c r="I1001" s="6">
        <v>76</v>
      </c>
      <c r="J1001" s="4">
        <f t="shared" si="141"/>
        <v>106.4</v>
      </c>
      <c r="L1001" s="6">
        <v>107</v>
      </c>
      <c r="M1001" s="4">
        <f t="shared" si="142"/>
        <v>122.28571428571429</v>
      </c>
      <c r="P1001" s="6">
        <v>70</v>
      </c>
      <c r="Q1001" s="4">
        <f t="shared" si="143"/>
        <v>51.578947368421055</v>
      </c>
    </row>
    <row r="1002" spans="6:17" ht="19.5" thickBot="1">
      <c r="F1002" s="21">
        <v>5</v>
      </c>
      <c r="G1002" s="4">
        <f t="shared" si="140"/>
        <v>5.416666666666667</v>
      </c>
      <c r="I1002" s="6">
        <v>56</v>
      </c>
      <c r="J1002" s="4">
        <f t="shared" si="141"/>
        <v>78.4</v>
      </c>
      <c r="L1002" s="6">
        <v>79</v>
      </c>
      <c r="M1002" s="4">
        <f t="shared" si="142"/>
        <v>90.28571428571429</v>
      </c>
      <c r="P1002" s="6">
        <v>90</v>
      </c>
      <c r="Q1002" s="4">
        <f t="shared" si="143"/>
        <v>66.3157894736842</v>
      </c>
    </row>
    <row r="1003" spans="6:17" ht="19.5" thickBot="1">
      <c r="F1003" s="21">
        <v>0.8</v>
      </c>
      <c r="G1003" s="4">
        <f t="shared" si="140"/>
        <v>0.8666666666666667</v>
      </c>
      <c r="I1003" s="6">
        <v>37</v>
      </c>
      <c r="J1003" s="4">
        <f t="shared" si="141"/>
        <v>51.8</v>
      </c>
      <c r="L1003" s="6">
        <v>52</v>
      </c>
      <c r="M1003" s="4">
        <f t="shared" si="142"/>
        <v>59.42857142857143</v>
      </c>
      <c r="P1003" s="6">
        <v>95</v>
      </c>
      <c r="Q1003" s="4">
        <f t="shared" si="143"/>
        <v>70</v>
      </c>
    </row>
    <row r="1004" spans="6:13" ht="19.5" thickBot="1">
      <c r="F1004" s="21">
        <v>0.6</v>
      </c>
      <c r="G1004" s="4">
        <f t="shared" si="140"/>
        <v>0.65</v>
      </c>
      <c r="I1004" s="6">
        <v>6</v>
      </c>
      <c r="J1004" s="4">
        <f t="shared" si="141"/>
        <v>8.4</v>
      </c>
      <c r="L1004" s="21">
        <v>9</v>
      </c>
      <c r="M1004" s="4">
        <f t="shared" si="142"/>
        <v>10.285714285714286</v>
      </c>
    </row>
    <row r="1005" spans="6:13" ht="19.5" thickBot="1">
      <c r="F1005" s="21">
        <v>2</v>
      </c>
      <c r="G1005" s="4">
        <f t="shared" si="140"/>
        <v>2.1666666666666665</v>
      </c>
      <c r="I1005" s="6">
        <v>10</v>
      </c>
      <c r="J1005" s="4">
        <f t="shared" si="141"/>
        <v>14</v>
      </c>
      <c r="L1005" s="21">
        <v>14</v>
      </c>
      <c r="M1005" s="4">
        <f t="shared" si="142"/>
        <v>16</v>
      </c>
    </row>
    <row r="1006" spans="6:17" ht="19.5" thickBot="1">
      <c r="F1006" s="21"/>
      <c r="G1006" s="4">
        <f t="shared" si="140"/>
        <v>0</v>
      </c>
      <c r="I1006" s="6">
        <v>7</v>
      </c>
      <c r="J1006" s="4">
        <f t="shared" si="141"/>
        <v>9.8</v>
      </c>
      <c r="L1006" s="21">
        <v>11</v>
      </c>
      <c r="M1006" s="4">
        <f t="shared" si="142"/>
        <v>12.571428571428571</v>
      </c>
      <c r="P1006" s="5">
        <v>97</v>
      </c>
      <c r="Q1006" s="4">
        <f>P1006*63/45</f>
        <v>135.8</v>
      </c>
    </row>
    <row r="1007" spans="6:17" ht="19.5" thickBot="1">
      <c r="F1007" s="21">
        <v>6.6</v>
      </c>
      <c r="G1007" s="4">
        <f t="shared" si="140"/>
        <v>7.15</v>
      </c>
      <c r="I1007" s="6">
        <v>3</v>
      </c>
      <c r="J1007" s="4">
        <f t="shared" si="141"/>
        <v>4.2</v>
      </c>
      <c r="L1007" s="21">
        <v>4</v>
      </c>
      <c r="M1007" s="4">
        <f t="shared" si="142"/>
        <v>4.571428571428571</v>
      </c>
      <c r="P1007" s="6">
        <v>83</v>
      </c>
      <c r="Q1007" s="4">
        <f aca="true" t="shared" si="144" ref="Q1007:Q1012">P1007*63/45</f>
        <v>116.2</v>
      </c>
    </row>
    <row r="1008" spans="6:17" ht="19.5" thickBot="1">
      <c r="F1008" s="21">
        <v>7</v>
      </c>
      <c r="G1008" s="4">
        <f t="shared" si="140"/>
        <v>7.583333333333333</v>
      </c>
      <c r="I1008" s="6">
        <v>4</v>
      </c>
      <c r="J1008" s="4">
        <f t="shared" si="141"/>
        <v>5.6</v>
      </c>
      <c r="L1008" s="21">
        <v>6</v>
      </c>
      <c r="M1008" s="4">
        <f t="shared" si="142"/>
        <v>6.857142857142857</v>
      </c>
      <c r="P1008" s="6">
        <v>94</v>
      </c>
      <c r="Q1008" s="4">
        <f t="shared" si="144"/>
        <v>131.6</v>
      </c>
    </row>
    <row r="1009" spans="6:17" ht="19.5" thickBot="1">
      <c r="F1009" s="21">
        <v>23</v>
      </c>
      <c r="G1009" s="4">
        <f t="shared" si="140"/>
        <v>24.916666666666668</v>
      </c>
      <c r="I1009" s="21"/>
      <c r="J1009" s="4">
        <f t="shared" si="141"/>
        <v>0</v>
      </c>
      <c r="L1009" s="21"/>
      <c r="M1009" s="4">
        <f t="shared" si="142"/>
        <v>0</v>
      </c>
      <c r="P1009" s="6">
        <v>81</v>
      </c>
      <c r="Q1009" s="4">
        <f t="shared" si="144"/>
        <v>113.4</v>
      </c>
    </row>
    <row r="1010" spans="6:17" ht="19.5" thickBot="1">
      <c r="F1010" s="21">
        <v>60</v>
      </c>
      <c r="G1010" s="4">
        <f t="shared" si="140"/>
        <v>65</v>
      </c>
      <c r="I1010" s="21">
        <v>4</v>
      </c>
      <c r="J1010" s="4">
        <f t="shared" si="141"/>
        <v>5.6</v>
      </c>
      <c r="L1010" s="21">
        <v>5</v>
      </c>
      <c r="M1010" s="4">
        <f t="shared" si="142"/>
        <v>5.714285714285714</v>
      </c>
      <c r="P1010" s="6">
        <v>106</v>
      </c>
      <c r="Q1010" s="4">
        <f t="shared" si="144"/>
        <v>148.4</v>
      </c>
    </row>
    <row r="1011" spans="9:17" ht="19.5" thickBot="1">
      <c r="I1011" s="6">
        <v>50</v>
      </c>
      <c r="J1011" s="4">
        <f t="shared" si="141"/>
        <v>70</v>
      </c>
      <c r="L1011" s="21">
        <v>70</v>
      </c>
      <c r="M1011" s="4">
        <f t="shared" si="142"/>
        <v>80</v>
      </c>
      <c r="P1011" s="6">
        <v>78</v>
      </c>
      <c r="Q1011" s="4">
        <f t="shared" si="144"/>
        <v>109.2</v>
      </c>
    </row>
    <row r="1012" spans="16:17" ht="19.5" thickBot="1">
      <c r="P1012" s="6">
        <v>52</v>
      </c>
      <c r="Q1012" s="4">
        <f t="shared" si="144"/>
        <v>72.8</v>
      </c>
    </row>
    <row r="1013" ht="19.5" thickBot="1"/>
    <row r="1014" spans="10:11" ht="19.5" thickBot="1">
      <c r="J1014" s="5">
        <v>136</v>
      </c>
      <c r="K1014" s="4">
        <f>J1014*80/70</f>
        <v>155.42857142857142</v>
      </c>
    </row>
    <row r="1015" spans="10:11" ht="19.5" thickBot="1">
      <c r="J1015" s="6">
        <v>116</v>
      </c>
      <c r="K1015" s="4">
        <f aca="true" t="shared" si="145" ref="K1015:K1026">J1015*80/70</f>
        <v>132.57142857142858</v>
      </c>
    </row>
    <row r="1016" spans="10:11" ht="19.5" thickBot="1">
      <c r="J1016" s="6">
        <v>132</v>
      </c>
      <c r="K1016" s="4">
        <f t="shared" si="145"/>
        <v>150.85714285714286</v>
      </c>
    </row>
    <row r="1017" spans="10:11" ht="19.5" thickBot="1">
      <c r="J1017" s="6">
        <v>113</v>
      </c>
      <c r="K1017" s="4">
        <f t="shared" si="145"/>
        <v>129.14285714285714</v>
      </c>
    </row>
    <row r="1018" spans="10:15" ht="19.5" thickBot="1">
      <c r="J1018" s="6">
        <v>148</v>
      </c>
      <c r="K1018" s="4">
        <f t="shared" si="145"/>
        <v>169.14285714285714</v>
      </c>
      <c r="N1018" s="5">
        <v>155</v>
      </c>
      <c r="O1018" s="4">
        <f>N1018*77/72</f>
        <v>165.76388888888889</v>
      </c>
    </row>
    <row r="1019" spans="10:15" ht="19.5" thickBot="1">
      <c r="J1019" s="6">
        <v>109</v>
      </c>
      <c r="K1019" s="4">
        <f t="shared" si="145"/>
        <v>124.57142857142857</v>
      </c>
      <c r="N1019" s="6">
        <v>133</v>
      </c>
      <c r="O1019" s="4">
        <f aca="true" t="shared" si="146" ref="O1019:O1024">N1019*77/72</f>
        <v>142.23611111111111</v>
      </c>
    </row>
    <row r="1020" spans="10:15" ht="19.5" thickBot="1">
      <c r="J1020" s="6">
        <v>73</v>
      </c>
      <c r="K1020" s="4">
        <f t="shared" si="145"/>
        <v>83.42857142857143</v>
      </c>
      <c r="N1020" s="6">
        <v>151</v>
      </c>
      <c r="O1020" s="4">
        <f t="shared" si="146"/>
        <v>161.48611111111111</v>
      </c>
    </row>
    <row r="1021" spans="10:15" ht="19.5" thickBot="1">
      <c r="J1021" s="6">
        <v>17</v>
      </c>
      <c r="K1021" s="4">
        <f t="shared" si="145"/>
        <v>19.428571428571427</v>
      </c>
      <c r="N1021" s="6">
        <v>129</v>
      </c>
      <c r="O1021" s="4">
        <f t="shared" si="146"/>
        <v>137.95833333333334</v>
      </c>
    </row>
    <row r="1022" spans="10:15" ht="19.5" thickBot="1">
      <c r="J1022" s="6">
        <v>22</v>
      </c>
      <c r="K1022" s="4">
        <f t="shared" si="145"/>
        <v>25.142857142857142</v>
      </c>
      <c r="N1022" s="6">
        <v>169</v>
      </c>
      <c r="O1022" s="4">
        <f t="shared" si="146"/>
        <v>180.73611111111111</v>
      </c>
    </row>
    <row r="1023" spans="7:15" ht="19.5" thickBot="1">
      <c r="G1023" s="5">
        <v>166</v>
      </c>
      <c r="H1023" s="4">
        <f>G1023*70/80</f>
        <v>145.25</v>
      </c>
      <c r="J1023" s="6">
        <v>5</v>
      </c>
      <c r="K1023" s="4">
        <f t="shared" si="145"/>
        <v>5.714285714285714</v>
      </c>
      <c r="N1023" s="6">
        <v>125</v>
      </c>
      <c r="O1023" s="4">
        <f t="shared" si="146"/>
        <v>133.68055555555554</v>
      </c>
    </row>
    <row r="1024" spans="7:15" ht="19.5" thickBot="1">
      <c r="G1024" s="6">
        <v>142</v>
      </c>
      <c r="H1024" s="4">
        <f aca="true" t="shared" si="147" ref="H1024:H1035">G1024*70/80</f>
        <v>124.25</v>
      </c>
      <c r="J1024" s="6">
        <v>52</v>
      </c>
      <c r="K1024" s="4">
        <f t="shared" si="145"/>
        <v>59.42857142857143</v>
      </c>
      <c r="N1024" s="6">
        <v>83</v>
      </c>
      <c r="O1024" s="4">
        <f t="shared" si="146"/>
        <v>88.76388888888889</v>
      </c>
    </row>
    <row r="1025" spans="7:11" ht="19.5" thickBot="1">
      <c r="G1025" s="6">
        <v>161</v>
      </c>
      <c r="H1025" s="4">
        <f t="shared" si="147"/>
        <v>140.875</v>
      </c>
      <c r="J1025" s="6">
        <v>66</v>
      </c>
      <c r="K1025" s="4">
        <f t="shared" si="145"/>
        <v>75.42857142857143</v>
      </c>
    </row>
    <row r="1026" spans="7:11" ht="19.5" thickBot="1">
      <c r="G1026" s="6">
        <v>138</v>
      </c>
      <c r="H1026" s="4">
        <f t="shared" si="147"/>
        <v>120.75</v>
      </c>
      <c r="J1026" s="6">
        <v>70</v>
      </c>
      <c r="K1026" s="4">
        <f t="shared" si="145"/>
        <v>80</v>
      </c>
    </row>
    <row r="1027" spans="7:8" ht="19.5" thickBot="1">
      <c r="G1027" s="6">
        <v>181</v>
      </c>
      <c r="H1027" s="4">
        <f t="shared" si="147"/>
        <v>158.375</v>
      </c>
    </row>
    <row r="1028" spans="7:8" ht="19.5" thickBot="1">
      <c r="G1028" s="6">
        <v>134</v>
      </c>
      <c r="H1028" s="4">
        <f t="shared" si="147"/>
        <v>117.25</v>
      </c>
    </row>
    <row r="1029" spans="7:15" ht="19.5" thickBot="1">
      <c r="G1029" s="6">
        <v>89</v>
      </c>
      <c r="H1029" s="4">
        <f t="shared" si="147"/>
        <v>77.875</v>
      </c>
      <c r="N1029" s="5">
        <v>49</v>
      </c>
      <c r="O1029" s="4">
        <f>N1029*58/36</f>
        <v>78.94444444444444</v>
      </c>
    </row>
    <row r="1030" spans="7:15" ht="19.5" thickBot="1">
      <c r="G1030" s="6">
        <v>19</v>
      </c>
      <c r="H1030" s="4">
        <f t="shared" si="147"/>
        <v>16.625</v>
      </c>
      <c r="N1030" s="6">
        <v>53</v>
      </c>
      <c r="O1030" s="4">
        <f>N1030*58/36</f>
        <v>85.38888888888889</v>
      </c>
    </row>
    <row r="1031" spans="7:15" ht="19.5" thickBot="1">
      <c r="G1031" s="6">
        <v>20</v>
      </c>
      <c r="H1031" s="4">
        <f t="shared" si="147"/>
        <v>17.5</v>
      </c>
      <c r="N1031" s="6">
        <v>56</v>
      </c>
      <c r="O1031" s="4">
        <f>N1031*58/36</f>
        <v>90.22222222222223</v>
      </c>
    </row>
    <row r="1032" spans="7:15" ht="19.5" thickBot="1">
      <c r="G1032" s="6">
        <v>6</v>
      </c>
      <c r="H1032" s="4">
        <f t="shared" si="147"/>
        <v>5.25</v>
      </c>
      <c r="N1032" s="6">
        <v>60</v>
      </c>
      <c r="O1032" s="4">
        <f>N1032*58/36</f>
        <v>96.66666666666667</v>
      </c>
    </row>
    <row r="1033" spans="7:8" ht="19.5" thickBot="1">
      <c r="G1033" s="6">
        <v>63</v>
      </c>
      <c r="H1033" s="4">
        <f t="shared" si="147"/>
        <v>55.125</v>
      </c>
    </row>
    <row r="1034" spans="7:8" ht="19.5" thickBot="1">
      <c r="G1034" s="6">
        <v>80</v>
      </c>
      <c r="H1034" s="4">
        <f t="shared" si="147"/>
        <v>70</v>
      </c>
    </row>
    <row r="1035" spans="7:8" ht="19.5" thickBot="1">
      <c r="G1035" s="6">
        <v>80</v>
      </c>
      <c r="H1035" s="4">
        <f t="shared" si="147"/>
        <v>70</v>
      </c>
    </row>
    <row r="1036" ht="19.5" thickBot="1"/>
    <row r="1037" spans="10:16" ht="19.5" thickBot="1">
      <c r="J1037" s="5">
        <v>128</v>
      </c>
      <c r="K1037" s="4">
        <f>J1037*180/200</f>
        <v>115.2</v>
      </c>
      <c r="O1037" s="5">
        <v>115</v>
      </c>
      <c r="P1037" s="4">
        <f>O1037*150/180</f>
        <v>95.83333333333333</v>
      </c>
    </row>
    <row r="1038" spans="10:16" ht="19.5" thickBot="1">
      <c r="J1038" s="6">
        <v>137</v>
      </c>
      <c r="K1038" s="4">
        <f aca="true" t="shared" si="148" ref="K1038:K1048">J1038*180/200</f>
        <v>123.3</v>
      </c>
      <c r="O1038" s="6">
        <v>123</v>
      </c>
      <c r="P1038" s="4">
        <f aca="true" t="shared" si="149" ref="P1038:P1048">O1038*150/180</f>
        <v>102.5</v>
      </c>
    </row>
    <row r="1039" spans="10:16" ht="19.5" thickBot="1">
      <c r="J1039" s="6">
        <v>148</v>
      </c>
      <c r="K1039" s="4">
        <f t="shared" si="148"/>
        <v>133.2</v>
      </c>
      <c r="O1039" s="6">
        <v>133</v>
      </c>
      <c r="P1039" s="4">
        <f t="shared" si="149"/>
        <v>110.83333333333333</v>
      </c>
    </row>
    <row r="1040" spans="10:16" ht="19.5" thickBot="1">
      <c r="J1040" s="6">
        <v>160</v>
      </c>
      <c r="K1040" s="4">
        <f t="shared" si="148"/>
        <v>144</v>
      </c>
      <c r="O1040" s="6">
        <v>144</v>
      </c>
      <c r="P1040" s="4">
        <f t="shared" si="149"/>
        <v>120</v>
      </c>
    </row>
    <row r="1041" spans="10:16" ht="19.5" thickBot="1">
      <c r="J1041" s="6"/>
      <c r="K1041" s="4">
        <f t="shared" si="148"/>
        <v>0</v>
      </c>
      <c r="O1041" s="6"/>
      <c r="P1041" s="4">
        <f t="shared" si="149"/>
        <v>0</v>
      </c>
    </row>
    <row r="1042" spans="10:16" ht="19.5" thickBot="1">
      <c r="J1042" s="6">
        <v>40</v>
      </c>
      <c r="K1042" s="4">
        <f t="shared" si="148"/>
        <v>36</v>
      </c>
      <c r="O1042" s="6">
        <v>36</v>
      </c>
      <c r="P1042" s="4">
        <f t="shared" si="149"/>
        <v>30</v>
      </c>
    </row>
    <row r="1043" spans="10:16" ht="19.5" thickBot="1">
      <c r="J1043" s="6">
        <v>43</v>
      </c>
      <c r="K1043" s="4">
        <f t="shared" si="148"/>
        <v>38.7</v>
      </c>
      <c r="O1043" s="6">
        <v>29</v>
      </c>
      <c r="P1043" s="4">
        <f t="shared" si="149"/>
        <v>24.166666666666668</v>
      </c>
    </row>
    <row r="1044" spans="10:16" ht="19.5" thickBot="1">
      <c r="J1044" s="6">
        <v>19</v>
      </c>
      <c r="K1044" s="4">
        <f t="shared" si="148"/>
        <v>17.1</v>
      </c>
      <c r="O1044" s="6">
        <v>17</v>
      </c>
      <c r="P1044" s="4">
        <f t="shared" si="149"/>
        <v>14.166666666666666</v>
      </c>
    </row>
    <row r="1045" spans="10:16" ht="19.5" thickBot="1">
      <c r="J1045" s="6">
        <v>50</v>
      </c>
      <c r="K1045" s="4">
        <f t="shared" si="148"/>
        <v>45</v>
      </c>
      <c r="O1045" s="6">
        <v>45</v>
      </c>
      <c r="P1045" s="4">
        <f t="shared" si="149"/>
        <v>37.5</v>
      </c>
    </row>
    <row r="1046" spans="10:16" ht="19.5" thickBot="1">
      <c r="J1046" s="6">
        <v>105</v>
      </c>
      <c r="K1046" s="4">
        <f t="shared" si="148"/>
        <v>94.5</v>
      </c>
      <c r="O1046" s="6">
        <v>95</v>
      </c>
      <c r="P1046" s="4">
        <f t="shared" si="149"/>
        <v>79.16666666666667</v>
      </c>
    </row>
    <row r="1047" spans="10:16" ht="19.5" thickBot="1">
      <c r="J1047" s="6">
        <v>8</v>
      </c>
      <c r="K1047" s="4">
        <f t="shared" si="148"/>
        <v>7.2</v>
      </c>
      <c r="O1047" s="6">
        <v>7</v>
      </c>
      <c r="P1047" s="4">
        <f t="shared" si="149"/>
        <v>5.833333333333333</v>
      </c>
    </row>
    <row r="1048" spans="10:16" ht="19.5" thickBot="1">
      <c r="J1048" s="6">
        <v>200</v>
      </c>
      <c r="K1048" s="4">
        <f t="shared" si="148"/>
        <v>180</v>
      </c>
      <c r="O1048" s="6">
        <v>180</v>
      </c>
      <c r="P1048" s="4">
        <f t="shared" si="149"/>
        <v>150</v>
      </c>
    </row>
    <row r="1051" ht="19.5" thickBot="1"/>
    <row r="1052" spans="14:15" ht="19.5" thickBot="1">
      <c r="N1052" s="41">
        <v>170</v>
      </c>
      <c r="O1052" s="4">
        <f>N1052/2</f>
        <v>85</v>
      </c>
    </row>
    <row r="1053" spans="14:15" ht="19.5" thickBot="1">
      <c r="N1053" s="42">
        <v>183</v>
      </c>
      <c r="O1053" s="4">
        <f aca="true" t="shared" si="150" ref="O1053:O1061">N1053/2</f>
        <v>91.5</v>
      </c>
    </row>
    <row r="1054" spans="14:15" ht="19.5" thickBot="1">
      <c r="N1054" s="42">
        <v>197</v>
      </c>
      <c r="O1054" s="4">
        <f t="shared" si="150"/>
        <v>98.5</v>
      </c>
    </row>
    <row r="1055" spans="14:15" ht="19.5" thickBot="1">
      <c r="N1055" s="42">
        <v>214</v>
      </c>
      <c r="O1055" s="4">
        <f t="shared" si="150"/>
        <v>107</v>
      </c>
    </row>
    <row r="1056" spans="9:15" ht="19.5" thickBot="1">
      <c r="I1056" s="39">
        <v>128</v>
      </c>
      <c r="J1056" s="4">
        <f>I1056*90/180</f>
        <v>64</v>
      </c>
      <c r="N1056" s="40">
        <v>24</v>
      </c>
      <c r="O1056" s="4">
        <f t="shared" si="150"/>
        <v>12</v>
      </c>
    </row>
    <row r="1057" spans="9:15" ht="19.5" thickBot="1">
      <c r="I1057" s="40">
        <v>128</v>
      </c>
      <c r="J1057" s="4">
        <f aca="true" t="shared" si="151" ref="J1057:J1065">I1057*90/180</f>
        <v>64</v>
      </c>
      <c r="N1057" s="40">
        <v>23</v>
      </c>
      <c r="O1057" s="4">
        <f t="shared" si="150"/>
        <v>11.5</v>
      </c>
    </row>
    <row r="1058" spans="9:15" ht="19.5" thickBot="1">
      <c r="I1058" s="40">
        <v>128</v>
      </c>
      <c r="J1058" s="4">
        <f t="shared" si="151"/>
        <v>64</v>
      </c>
      <c r="N1058" s="40">
        <v>5</v>
      </c>
      <c r="O1058" s="4">
        <f t="shared" si="150"/>
        <v>2.5</v>
      </c>
    </row>
    <row r="1059" spans="9:15" ht="19.5" thickBot="1">
      <c r="I1059" s="40">
        <v>128</v>
      </c>
      <c r="J1059" s="4">
        <f t="shared" si="151"/>
        <v>64</v>
      </c>
      <c r="N1059" s="40">
        <v>150</v>
      </c>
      <c r="O1059" s="4">
        <f t="shared" si="150"/>
        <v>75</v>
      </c>
    </row>
    <row r="1060" spans="9:15" ht="19.5" thickBot="1">
      <c r="I1060" s="40">
        <v>24</v>
      </c>
      <c r="J1060" s="4">
        <f t="shared" si="151"/>
        <v>12</v>
      </c>
      <c r="N1060" s="38">
        <v>4</v>
      </c>
      <c r="O1060" s="4">
        <f t="shared" si="150"/>
        <v>2</v>
      </c>
    </row>
    <row r="1061" spans="9:15" ht="19.5" thickBot="1">
      <c r="I1061" s="40">
        <v>23</v>
      </c>
      <c r="J1061" s="4">
        <f t="shared" si="151"/>
        <v>11.5</v>
      </c>
      <c r="N1061" s="38">
        <v>150</v>
      </c>
      <c r="O1061" s="4">
        <f t="shared" si="150"/>
        <v>75</v>
      </c>
    </row>
    <row r="1062" spans="9:10" ht="19.5" thickBot="1">
      <c r="I1062" s="40">
        <v>5</v>
      </c>
      <c r="J1062" s="4">
        <f t="shared" si="151"/>
        <v>2.5</v>
      </c>
    </row>
    <row r="1063" spans="9:10" ht="19.5" thickBot="1">
      <c r="I1063" s="40">
        <v>150</v>
      </c>
      <c r="J1063" s="4">
        <f t="shared" si="151"/>
        <v>75</v>
      </c>
    </row>
    <row r="1064" spans="9:14" ht="19.5" thickBot="1">
      <c r="I1064" s="38">
        <v>5</v>
      </c>
      <c r="J1064" s="4">
        <f t="shared" si="151"/>
        <v>2.5</v>
      </c>
      <c r="M1064" s="41">
        <v>170</v>
      </c>
      <c r="N1064" s="4">
        <f>M1064*90/150</f>
        <v>102</v>
      </c>
    </row>
    <row r="1065" spans="9:14" ht="19.5" thickBot="1">
      <c r="I1065" s="38">
        <v>180</v>
      </c>
      <c r="J1065" s="4">
        <f t="shared" si="151"/>
        <v>90</v>
      </c>
      <c r="M1065" s="42">
        <v>183</v>
      </c>
      <c r="N1065" s="4">
        <f aca="true" t="shared" si="152" ref="N1065:N1071">M1065*90/150</f>
        <v>109.8</v>
      </c>
    </row>
    <row r="1066" spans="13:14" ht="19.5" thickBot="1">
      <c r="M1066" s="42">
        <v>197</v>
      </c>
      <c r="N1066" s="4">
        <f t="shared" si="152"/>
        <v>118.2</v>
      </c>
    </row>
    <row r="1067" spans="13:14" ht="19.5" thickBot="1">
      <c r="M1067" s="42">
        <v>214</v>
      </c>
      <c r="N1067" s="4">
        <f t="shared" si="152"/>
        <v>128.4</v>
      </c>
    </row>
    <row r="1068" spans="13:14" ht="19.5" thickBot="1">
      <c r="M1068" s="40">
        <v>24</v>
      </c>
      <c r="N1068" s="4">
        <f t="shared" si="152"/>
        <v>14.4</v>
      </c>
    </row>
    <row r="1069" spans="13:14" ht="19.5" thickBot="1">
      <c r="M1069" s="40">
        <v>23</v>
      </c>
      <c r="N1069" s="4">
        <f t="shared" si="152"/>
        <v>13.8</v>
      </c>
    </row>
    <row r="1070" spans="13:14" ht="19.5" thickBot="1">
      <c r="M1070" s="40">
        <v>5</v>
      </c>
      <c r="N1070" s="4">
        <f t="shared" si="152"/>
        <v>3</v>
      </c>
    </row>
    <row r="1071" spans="13:14" ht="19.5" thickBot="1">
      <c r="M1071" s="40">
        <v>150</v>
      </c>
      <c r="N1071" s="4">
        <f t="shared" si="152"/>
        <v>90</v>
      </c>
    </row>
    <row r="1092" ht="19.5" thickBot="1"/>
    <row r="1093" spans="7:11" ht="19.5" thickBot="1">
      <c r="G1093" s="43">
        <v>82</v>
      </c>
      <c r="H1093" s="4">
        <f aca="true" t="shared" si="153" ref="H1093:H1098">G1093*60/45</f>
        <v>109.33333333333333</v>
      </c>
      <c r="J1093" s="43">
        <v>58</v>
      </c>
      <c r="K1093" s="4">
        <f>J1093*250/200</f>
        <v>72.5</v>
      </c>
    </row>
    <row r="1094" spans="7:15" ht="19.5" thickBot="1">
      <c r="G1094" s="38">
        <v>82</v>
      </c>
      <c r="H1094" s="4">
        <f t="shared" si="153"/>
        <v>109.33333333333333</v>
      </c>
      <c r="J1094" s="38">
        <v>22</v>
      </c>
      <c r="K1094" s="4">
        <f aca="true" t="shared" si="154" ref="K1094:K1106">J1094*250/200</f>
        <v>27.5</v>
      </c>
      <c r="N1094" s="43">
        <v>47</v>
      </c>
      <c r="O1094" s="4">
        <f>N1094*60/100</f>
        <v>28.2</v>
      </c>
    </row>
    <row r="1095" spans="7:15" ht="19.5" thickBot="1">
      <c r="G1095" s="38">
        <v>46</v>
      </c>
      <c r="H1095" s="4">
        <f t="shared" si="153"/>
        <v>61.333333333333336</v>
      </c>
      <c r="J1095" s="38">
        <v>5</v>
      </c>
      <c r="K1095" s="4">
        <f t="shared" si="154"/>
        <v>6.25</v>
      </c>
      <c r="N1095" s="38">
        <v>3</v>
      </c>
      <c r="O1095" s="4">
        <f aca="true" t="shared" si="155" ref="O1095:O1104">N1095*60/100</f>
        <v>1.8</v>
      </c>
    </row>
    <row r="1096" spans="7:15" ht="19.5" thickBot="1">
      <c r="G1096" s="38">
        <v>46</v>
      </c>
      <c r="H1096" s="4">
        <f t="shared" si="153"/>
        <v>61.333333333333336</v>
      </c>
      <c r="J1096" s="38">
        <v>83</v>
      </c>
      <c r="K1096" s="4">
        <f t="shared" si="154"/>
        <v>103.75</v>
      </c>
      <c r="N1096" s="38">
        <v>5</v>
      </c>
      <c r="O1096" s="4">
        <f t="shared" si="155"/>
        <v>3</v>
      </c>
    </row>
    <row r="1097" spans="7:15" ht="19.5" thickBot="1">
      <c r="G1097" s="38">
        <v>47</v>
      </c>
      <c r="H1097" s="4">
        <f t="shared" si="153"/>
        <v>62.666666666666664</v>
      </c>
      <c r="J1097" s="38">
        <v>80</v>
      </c>
      <c r="K1097" s="4">
        <f t="shared" si="154"/>
        <v>100</v>
      </c>
      <c r="N1097" s="38">
        <v>5</v>
      </c>
      <c r="O1097" s="4">
        <f t="shared" si="155"/>
        <v>3</v>
      </c>
    </row>
    <row r="1098" spans="7:15" ht="19.5" thickBot="1">
      <c r="G1098" s="38">
        <v>60</v>
      </c>
      <c r="H1098" s="4">
        <f t="shared" si="153"/>
        <v>80</v>
      </c>
      <c r="J1098" s="38">
        <v>8</v>
      </c>
      <c r="K1098" s="4">
        <f t="shared" si="154"/>
        <v>10</v>
      </c>
      <c r="N1098" s="38">
        <v>1.8</v>
      </c>
      <c r="O1098" s="4">
        <f t="shared" si="155"/>
        <v>1.08</v>
      </c>
    </row>
    <row r="1099" spans="10:15" ht="19.5" thickBot="1">
      <c r="J1099" s="38">
        <v>0.09</v>
      </c>
      <c r="K1099" s="4">
        <f t="shared" si="154"/>
        <v>0.1125</v>
      </c>
      <c r="N1099" s="38">
        <v>12</v>
      </c>
      <c r="O1099" s="4">
        <f t="shared" si="155"/>
        <v>7.2</v>
      </c>
    </row>
    <row r="1100" spans="10:15" ht="19.5" thickBot="1">
      <c r="J1100" s="38">
        <v>17</v>
      </c>
      <c r="K1100" s="4">
        <f t="shared" si="154"/>
        <v>21.25</v>
      </c>
      <c r="N1100" s="38">
        <v>1.7</v>
      </c>
      <c r="O1100" s="4">
        <f t="shared" si="155"/>
        <v>1.02</v>
      </c>
    </row>
    <row r="1101" spans="10:15" ht="19.5" thickBot="1">
      <c r="J1101" s="38">
        <v>104</v>
      </c>
      <c r="K1101" s="4">
        <f t="shared" si="154"/>
        <v>130</v>
      </c>
      <c r="N1101" s="38">
        <v>40</v>
      </c>
      <c r="O1101" s="4">
        <f t="shared" si="155"/>
        <v>24</v>
      </c>
    </row>
    <row r="1102" spans="10:15" ht="19.5" thickBot="1">
      <c r="J1102" s="38">
        <v>4</v>
      </c>
      <c r="K1102" s="4">
        <f t="shared" si="154"/>
        <v>5</v>
      </c>
      <c r="N1102" s="38">
        <v>2</v>
      </c>
      <c r="O1102" s="4">
        <f t="shared" si="155"/>
        <v>1.2</v>
      </c>
    </row>
    <row r="1103" spans="10:15" ht="19.5" thickBot="1">
      <c r="J1103" s="38">
        <v>185</v>
      </c>
      <c r="K1103" s="4">
        <f t="shared" si="154"/>
        <v>231.25</v>
      </c>
      <c r="N1103" s="38">
        <v>1</v>
      </c>
      <c r="O1103" s="4">
        <f t="shared" si="155"/>
        <v>0.6</v>
      </c>
    </row>
    <row r="1104" spans="10:15" ht="19.5" thickBot="1">
      <c r="J1104" s="38">
        <v>185</v>
      </c>
      <c r="K1104" s="4">
        <f t="shared" si="154"/>
        <v>231.25</v>
      </c>
      <c r="N1104" s="38">
        <v>100</v>
      </c>
      <c r="O1104" s="4">
        <f t="shared" si="155"/>
        <v>60</v>
      </c>
    </row>
    <row r="1105" spans="10:11" ht="19.5" thickBot="1">
      <c r="J1105" s="38">
        <v>200</v>
      </c>
      <c r="K1105" s="4">
        <f t="shared" si="154"/>
        <v>250</v>
      </c>
    </row>
    <row r="1106" spans="10:11" ht="19.5" thickBot="1">
      <c r="J1106" s="38">
        <v>5</v>
      </c>
      <c r="K1106" s="4">
        <f t="shared" si="154"/>
        <v>6.25</v>
      </c>
    </row>
    <row r="1118" ht="19.5" thickBot="1"/>
    <row r="1119" spans="6:15" ht="19.5" thickBot="1">
      <c r="F1119" s="43">
        <v>29</v>
      </c>
      <c r="G1119" s="4">
        <f>F1119*24/40</f>
        <v>17.4</v>
      </c>
      <c r="K1119" s="5">
        <v>28</v>
      </c>
      <c r="L1119" s="4">
        <f>K1119*70/60</f>
        <v>32.666666666666664</v>
      </c>
      <c r="N1119" s="5">
        <v>17</v>
      </c>
      <c r="O1119" s="4">
        <f>N1119*28/24</f>
        <v>19.833333333333332</v>
      </c>
    </row>
    <row r="1120" spans="6:15" ht="19.5" thickBot="1">
      <c r="F1120" s="38">
        <v>5</v>
      </c>
      <c r="G1120" s="4">
        <f aca="true" t="shared" si="156" ref="G1120:G1127">F1120*24/40</f>
        <v>3</v>
      </c>
      <c r="K1120" s="6">
        <v>2</v>
      </c>
      <c r="L1120" s="4">
        <f aca="true" t="shared" si="157" ref="L1120:L1129">K1120*70/60</f>
        <v>2.3333333333333335</v>
      </c>
      <c r="N1120" s="6">
        <v>3</v>
      </c>
      <c r="O1120" s="4">
        <f aca="true" t="shared" si="158" ref="O1120:O1127">N1120*28/24</f>
        <v>3.5</v>
      </c>
    </row>
    <row r="1121" spans="6:15" ht="19.5" thickBot="1">
      <c r="F1121" s="38">
        <v>13</v>
      </c>
      <c r="G1121" s="4">
        <f t="shared" si="156"/>
        <v>7.8</v>
      </c>
      <c r="K1121" s="6">
        <v>3</v>
      </c>
      <c r="L1121" s="4">
        <f t="shared" si="157"/>
        <v>3.5</v>
      </c>
      <c r="N1121" s="6">
        <v>8</v>
      </c>
      <c r="O1121" s="4">
        <f t="shared" si="158"/>
        <v>9.333333333333334</v>
      </c>
    </row>
    <row r="1122" spans="6:15" ht="19.5" thickBot="1">
      <c r="F1122" s="38">
        <v>3</v>
      </c>
      <c r="G1122" s="4">
        <f t="shared" si="156"/>
        <v>1.8</v>
      </c>
      <c r="K1122" s="6">
        <v>3</v>
      </c>
      <c r="L1122" s="4">
        <f t="shared" si="157"/>
        <v>3.5</v>
      </c>
      <c r="N1122" s="6">
        <v>2</v>
      </c>
      <c r="O1122" s="4">
        <f t="shared" si="158"/>
        <v>2.3333333333333335</v>
      </c>
    </row>
    <row r="1123" spans="6:15" ht="19.5" thickBot="1">
      <c r="F1123" s="38">
        <v>3</v>
      </c>
      <c r="G1123" s="4">
        <f t="shared" si="156"/>
        <v>1.8</v>
      </c>
      <c r="K1123" s="6">
        <v>1</v>
      </c>
      <c r="L1123" s="4">
        <f t="shared" si="157"/>
        <v>1.1666666666666667</v>
      </c>
      <c r="N1123" s="6">
        <v>2</v>
      </c>
      <c r="O1123" s="4">
        <f t="shared" si="158"/>
        <v>2.3333333333333335</v>
      </c>
    </row>
    <row r="1124" spans="6:15" ht="19.5" thickBot="1">
      <c r="F1124" s="38">
        <v>1.3</v>
      </c>
      <c r="G1124" s="4">
        <f t="shared" si="156"/>
        <v>0.78</v>
      </c>
      <c r="K1124" s="6">
        <v>7</v>
      </c>
      <c r="L1124" s="4">
        <f t="shared" si="157"/>
        <v>8.166666666666666</v>
      </c>
      <c r="N1124" s="6">
        <v>1</v>
      </c>
      <c r="O1124" s="4">
        <f t="shared" si="158"/>
        <v>1.1666666666666667</v>
      </c>
    </row>
    <row r="1125" spans="6:15" ht="19.5" thickBot="1">
      <c r="F1125" s="38">
        <v>1.3</v>
      </c>
      <c r="G1125" s="4">
        <f t="shared" si="156"/>
        <v>0.78</v>
      </c>
      <c r="K1125" s="6">
        <v>1</v>
      </c>
      <c r="L1125" s="4">
        <f t="shared" si="157"/>
        <v>1.1666666666666667</v>
      </c>
      <c r="N1125" s="6">
        <v>1</v>
      </c>
      <c r="O1125" s="4">
        <f t="shared" si="158"/>
        <v>1.1666666666666667</v>
      </c>
    </row>
    <row r="1126" spans="6:15" ht="19.5" thickBot="1">
      <c r="F1126" s="38">
        <v>1.3</v>
      </c>
      <c r="G1126" s="4">
        <f t="shared" si="156"/>
        <v>0.78</v>
      </c>
      <c r="K1126" s="6">
        <v>24</v>
      </c>
      <c r="L1126" s="4">
        <f t="shared" si="157"/>
        <v>28</v>
      </c>
      <c r="N1126" s="6">
        <v>1</v>
      </c>
      <c r="O1126" s="4">
        <f t="shared" si="158"/>
        <v>1.1666666666666667</v>
      </c>
    </row>
    <row r="1127" spans="6:15" ht="19.5" thickBot="1">
      <c r="F1127" s="38">
        <v>40</v>
      </c>
      <c r="G1127" s="4">
        <f t="shared" si="156"/>
        <v>24</v>
      </c>
      <c r="K1127" s="6">
        <v>1</v>
      </c>
      <c r="L1127" s="4">
        <f t="shared" si="157"/>
        <v>1.1666666666666667</v>
      </c>
      <c r="N1127" s="6">
        <v>24</v>
      </c>
      <c r="O1127" s="4">
        <f t="shared" si="158"/>
        <v>28</v>
      </c>
    </row>
    <row r="1128" spans="11:12" ht="19.5" thickBot="1">
      <c r="K1128" s="6">
        <v>0.6</v>
      </c>
      <c r="L1128" s="4">
        <f t="shared" si="157"/>
        <v>0.7</v>
      </c>
    </row>
    <row r="1129" spans="11:12" ht="19.5" thickBot="1">
      <c r="K1129" s="6">
        <v>60</v>
      </c>
      <c r="L1129" s="4">
        <f t="shared" si="157"/>
        <v>70</v>
      </c>
    </row>
    <row r="1132" ht="19.5" thickBot="1"/>
    <row r="1133" spans="6:14" ht="19.5" thickBot="1">
      <c r="F1133" s="59">
        <v>0.11</v>
      </c>
      <c r="G1133" s="60">
        <v>0.01</v>
      </c>
      <c r="H1133" s="60">
        <v>18.32</v>
      </c>
      <c r="I1133" s="60">
        <v>72</v>
      </c>
      <c r="J1133" s="60">
        <v>5.16</v>
      </c>
      <c r="K1133" s="60">
        <v>0.12</v>
      </c>
      <c r="L1133" s="60">
        <v>0</v>
      </c>
      <c r="M1133" s="60">
        <v>0</v>
      </c>
      <c r="N1133" s="60">
        <v>4.8</v>
      </c>
    </row>
    <row r="1134" spans="6:14" ht="18.75">
      <c r="F1134" s="4">
        <f>F1133*200/150</f>
        <v>0.14666666666666667</v>
      </c>
      <c r="G1134" s="4">
        <f aca="true" t="shared" si="159" ref="G1134:N1134">G1133*200/150</f>
        <v>0.013333333333333334</v>
      </c>
      <c r="H1134" s="4">
        <f t="shared" si="159"/>
        <v>24.426666666666666</v>
      </c>
      <c r="I1134" s="4">
        <f t="shared" si="159"/>
        <v>96</v>
      </c>
      <c r="J1134" s="4">
        <f t="shared" si="159"/>
        <v>6.88</v>
      </c>
      <c r="K1134" s="4">
        <f t="shared" si="159"/>
        <v>0.16</v>
      </c>
      <c r="L1134" s="4">
        <f t="shared" si="159"/>
        <v>0</v>
      </c>
      <c r="M1134" s="4">
        <f t="shared" si="159"/>
        <v>0</v>
      </c>
      <c r="N1134" s="4">
        <f t="shared" si="159"/>
        <v>6.4</v>
      </c>
    </row>
    <row r="1136" ht="19.5" thickBot="1"/>
    <row r="1137" spans="6:14" ht="19.5" thickBot="1">
      <c r="F1137" s="59">
        <v>6.89</v>
      </c>
      <c r="G1137" s="60">
        <v>6.23</v>
      </c>
      <c r="H1137" s="60">
        <v>27.2</v>
      </c>
      <c r="I1137" s="60">
        <v>150</v>
      </c>
      <c r="J1137" s="60">
        <v>18.82</v>
      </c>
      <c r="K1137" s="60">
        <v>0.44</v>
      </c>
      <c r="L1137" s="60">
        <v>0.06</v>
      </c>
      <c r="M1137" s="60">
        <v>0.05</v>
      </c>
      <c r="N1137" s="60">
        <v>1.19</v>
      </c>
    </row>
    <row r="1138" spans="6:14" ht="18.75">
      <c r="F1138" s="4">
        <f>F1137*70/60</f>
        <v>8.038333333333332</v>
      </c>
      <c r="G1138" s="4">
        <f aca="true" t="shared" si="160" ref="G1138:N1138">G1137*70/60</f>
        <v>7.2683333333333335</v>
      </c>
      <c r="H1138" s="4">
        <f t="shared" si="160"/>
        <v>31.733333333333334</v>
      </c>
      <c r="I1138" s="4">
        <f t="shared" si="160"/>
        <v>175</v>
      </c>
      <c r="J1138" s="4">
        <f t="shared" si="160"/>
        <v>21.956666666666667</v>
      </c>
      <c r="K1138" s="4">
        <f t="shared" si="160"/>
        <v>0.5133333333333333</v>
      </c>
      <c r="L1138" s="4">
        <f t="shared" si="160"/>
        <v>0.07</v>
      </c>
      <c r="M1138" s="4">
        <f t="shared" si="160"/>
        <v>0.058333333333333334</v>
      </c>
      <c r="N1138" s="4">
        <f t="shared" si="160"/>
        <v>1.3883333333333332</v>
      </c>
    </row>
    <row r="1145" ht="19.5" thickBot="1"/>
    <row r="1146" spans="6:14" ht="19.5" thickBot="1">
      <c r="F1146" s="59">
        <v>19.84</v>
      </c>
      <c r="G1146" s="60">
        <v>31.43</v>
      </c>
      <c r="H1146" s="60">
        <v>37.07</v>
      </c>
      <c r="I1146" s="60">
        <v>471.05</v>
      </c>
      <c r="J1146" s="60">
        <v>35.2</v>
      </c>
      <c r="K1146" s="60">
        <v>1.81</v>
      </c>
      <c r="L1146" s="60">
        <v>0.3</v>
      </c>
      <c r="M1146" s="60">
        <v>0.2</v>
      </c>
      <c r="N1146" s="60">
        <v>0</v>
      </c>
    </row>
    <row r="1147" spans="6:14" ht="18.75">
      <c r="F1147" s="4">
        <f>F1146*250/200</f>
        <v>24.8</v>
      </c>
      <c r="G1147" s="4">
        <f aca="true" t="shared" si="161" ref="G1147:N1147">G1146*250/200</f>
        <v>39.2875</v>
      </c>
      <c r="H1147" s="4">
        <f t="shared" si="161"/>
        <v>46.3375</v>
      </c>
      <c r="I1147" s="4">
        <f t="shared" si="161"/>
        <v>588.8125</v>
      </c>
      <c r="J1147" s="4">
        <f t="shared" si="161"/>
        <v>44</v>
      </c>
      <c r="K1147" s="4">
        <f t="shared" si="161"/>
        <v>2.2625</v>
      </c>
      <c r="L1147" s="4">
        <f t="shared" si="161"/>
        <v>0.375</v>
      </c>
      <c r="M1147" s="4">
        <f t="shared" si="161"/>
        <v>0.25</v>
      </c>
      <c r="N1147" s="4">
        <f t="shared" si="161"/>
        <v>0</v>
      </c>
    </row>
    <row r="1163" ht="19.5" thickBot="1"/>
    <row r="1164" spans="8:9" ht="19.5" thickBot="1">
      <c r="H1164" s="39">
        <v>45</v>
      </c>
      <c r="I1164" s="4">
        <f>H1164*180/150</f>
        <v>54</v>
      </c>
    </row>
    <row r="1165" spans="8:9" ht="19.5" thickBot="1">
      <c r="H1165" s="40">
        <v>94</v>
      </c>
      <c r="I1165" s="4">
        <f aca="true" t="shared" si="162" ref="I1165:I1175">H1165*180/150</f>
        <v>112.8</v>
      </c>
    </row>
    <row r="1166" spans="8:9" ht="19.5" thickBot="1">
      <c r="H1166" s="40">
        <v>125</v>
      </c>
      <c r="I1166" s="4">
        <f t="shared" si="162"/>
        <v>150</v>
      </c>
    </row>
    <row r="1167" spans="8:9" ht="19.5" thickBot="1">
      <c r="H1167" s="40">
        <v>3</v>
      </c>
      <c r="I1167" s="4">
        <f t="shared" si="162"/>
        <v>3.6</v>
      </c>
    </row>
    <row r="1168" spans="8:9" ht="19.5" thickBot="1">
      <c r="H1168" s="40"/>
      <c r="I1168" s="4">
        <f t="shared" si="162"/>
        <v>0</v>
      </c>
    </row>
    <row r="1169" spans="8:9" ht="19.5" thickBot="1">
      <c r="H1169" s="40">
        <v>21</v>
      </c>
      <c r="I1169" s="4">
        <f t="shared" si="162"/>
        <v>25.2</v>
      </c>
    </row>
    <row r="1170" spans="8:9" ht="19.5" thickBot="1">
      <c r="H1170" s="40">
        <v>21</v>
      </c>
      <c r="I1170" s="4">
        <f t="shared" si="162"/>
        <v>25.2</v>
      </c>
    </row>
    <row r="1171" spans="8:9" ht="19.5" thickBot="1">
      <c r="H1171" s="40">
        <v>13</v>
      </c>
      <c r="I1171" s="4">
        <f t="shared" si="162"/>
        <v>15.6</v>
      </c>
    </row>
    <row r="1172" spans="8:9" ht="19.5" thickBot="1">
      <c r="H1172" s="40">
        <v>8</v>
      </c>
      <c r="I1172" s="4">
        <f t="shared" si="162"/>
        <v>9.6</v>
      </c>
    </row>
    <row r="1173" spans="8:9" ht="19.5" thickBot="1">
      <c r="H1173" s="40">
        <v>5</v>
      </c>
      <c r="I1173" s="4">
        <f t="shared" si="162"/>
        <v>6</v>
      </c>
    </row>
    <row r="1174" spans="8:9" ht="19.5" thickBot="1">
      <c r="H1174" s="40">
        <v>30</v>
      </c>
      <c r="I1174" s="4">
        <f t="shared" si="162"/>
        <v>36</v>
      </c>
    </row>
    <row r="1175" spans="8:9" ht="19.5" thickBot="1">
      <c r="H1175" s="40">
        <v>150</v>
      </c>
      <c r="I1175" s="4">
        <f t="shared" si="162"/>
        <v>180</v>
      </c>
    </row>
    <row r="1180" ht="19.5" thickBot="1"/>
    <row r="1181" spans="8:16" ht="19.5" thickBot="1">
      <c r="H1181" s="59">
        <v>3.86</v>
      </c>
      <c r="I1181" s="60">
        <v>7</v>
      </c>
      <c r="J1181" s="60">
        <v>25.6</v>
      </c>
      <c r="K1181" s="60">
        <v>212</v>
      </c>
      <c r="L1181" s="60">
        <v>4.81</v>
      </c>
      <c r="M1181" s="60">
        <v>0.85</v>
      </c>
      <c r="N1181" s="60">
        <v>0.04</v>
      </c>
      <c r="O1181" s="60">
        <v>0.02</v>
      </c>
      <c r="P1181" s="60">
        <v>5.95</v>
      </c>
    </row>
    <row r="1182" spans="8:16" ht="18.75">
      <c r="H1182" s="4">
        <f>H1181*180/150</f>
        <v>4.632</v>
      </c>
      <c r="I1182" s="4">
        <f aca="true" t="shared" si="163" ref="I1182:P1182">I1181*180/150</f>
        <v>8.4</v>
      </c>
      <c r="J1182" s="4">
        <f t="shared" si="163"/>
        <v>30.72</v>
      </c>
      <c r="K1182" s="4">
        <f t="shared" si="163"/>
        <v>254.4</v>
      </c>
      <c r="L1182" s="4">
        <f t="shared" si="163"/>
        <v>5.771999999999999</v>
      </c>
      <c r="M1182" s="4">
        <f t="shared" si="163"/>
        <v>1.02</v>
      </c>
      <c r="N1182" s="4">
        <f t="shared" si="163"/>
        <v>0.048</v>
      </c>
      <c r="O1182" s="4">
        <f t="shared" si="163"/>
        <v>0.024</v>
      </c>
      <c r="P1182" s="4">
        <f t="shared" si="163"/>
        <v>7.14</v>
      </c>
    </row>
    <row r="1195" ht="19.5" thickBot="1"/>
    <row r="1196" spans="8:9" ht="19.5" thickBot="1">
      <c r="H1196" s="88">
        <v>0.6</v>
      </c>
      <c r="I1196" s="4">
        <f aca="true" t="shared" si="164" ref="I1196:I1201">H1196*18/20</f>
        <v>0.5399999999999999</v>
      </c>
    </row>
    <row r="1197" spans="8:9" ht="19.5" thickBot="1">
      <c r="H1197" s="89">
        <v>0.6</v>
      </c>
      <c r="I1197" s="4">
        <f t="shared" si="164"/>
        <v>0.5399999999999999</v>
      </c>
    </row>
    <row r="1198" spans="8:9" ht="19.5" thickBot="1">
      <c r="H1198" s="89">
        <v>11</v>
      </c>
      <c r="I1198" s="4">
        <f t="shared" si="164"/>
        <v>9.9</v>
      </c>
    </row>
    <row r="1199" spans="8:9" ht="19.5" thickBot="1">
      <c r="H1199" s="89">
        <v>10</v>
      </c>
      <c r="I1199" s="4">
        <f t="shared" si="164"/>
        <v>9</v>
      </c>
    </row>
    <row r="1200" spans="8:9" ht="19.5" thickBot="1">
      <c r="H1200" s="89">
        <v>10</v>
      </c>
      <c r="I1200" s="4">
        <f t="shared" si="164"/>
        <v>9</v>
      </c>
    </row>
    <row r="1201" spans="8:9" ht="19.5" thickBot="1">
      <c r="H1201" s="89">
        <v>20</v>
      </c>
      <c r="I1201" s="4">
        <f t="shared" si="164"/>
        <v>18</v>
      </c>
    </row>
    <row r="1204" ht="19.5" thickBot="1"/>
    <row r="1205" spans="10:11" ht="19.5" thickBot="1">
      <c r="J1205" s="43">
        <v>192</v>
      </c>
      <c r="K1205" s="4">
        <f>J1205*78/144</f>
        <v>104</v>
      </c>
    </row>
    <row r="1206" spans="10:11" ht="19.5" thickBot="1">
      <c r="J1206" s="38">
        <v>206</v>
      </c>
      <c r="K1206" s="4">
        <f>J1206*78/144</f>
        <v>111.58333333333333</v>
      </c>
    </row>
    <row r="1207" spans="10:11" ht="19.5" thickBot="1">
      <c r="J1207" s="38">
        <v>222</v>
      </c>
      <c r="K1207" s="4">
        <f>J1207*78/144</f>
        <v>120.25</v>
      </c>
    </row>
    <row r="1208" spans="10:11" ht="19.5" thickBot="1">
      <c r="J1208" s="38">
        <v>240</v>
      </c>
      <c r="K1208" s="4">
        <f>J1208*78/144</f>
        <v>130</v>
      </c>
    </row>
    <row r="1214" ht="19.5" thickBot="1"/>
    <row r="1215" spans="7:8" ht="19.5" thickBot="1">
      <c r="G1215" s="5">
        <v>104</v>
      </c>
      <c r="H1215" s="4">
        <f>G1215*150/200</f>
        <v>78</v>
      </c>
    </row>
    <row r="1216" spans="7:8" ht="19.5" thickBot="1">
      <c r="G1216" s="6">
        <v>112</v>
      </c>
      <c r="H1216" s="4">
        <f aca="true" t="shared" si="165" ref="H1216:H1225">G1216*150/200</f>
        <v>84</v>
      </c>
    </row>
    <row r="1217" spans="7:8" ht="19.5" thickBot="1">
      <c r="G1217" s="6">
        <v>120</v>
      </c>
      <c r="H1217" s="4">
        <f t="shared" si="165"/>
        <v>90</v>
      </c>
    </row>
    <row r="1218" spans="7:8" ht="19.5" thickBot="1">
      <c r="G1218" s="6">
        <v>130</v>
      </c>
      <c r="H1218" s="4">
        <f t="shared" si="165"/>
        <v>97.5</v>
      </c>
    </row>
    <row r="1219" spans="7:8" ht="19.5" thickBot="1">
      <c r="G1219" s="38"/>
      <c r="H1219" s="4">
        <f t="shared" si="165"/>
        <v>0</v>
      </c>
    </row>
    <row r="1220" spans="7:8" ht="19.5" thickBot="1">
      <c r="G1220" s="38">
        <v>105</v>
      </c>
      <c r="H1220" s="4">
        <f t="shared" si="165"/>
        <v>78.75</v>
      </c>
    </row>
    <row r="1221" spans="7:8" ht="19.5" thickBot="1">
      <c r="G1221" s="38"/>
      <c r="H1221" s="4">
        <f t="shared" si="165"/>
        <v>0</v>
      </c>
    </row>
    <row r="1222" spans="7:8" ht="19.5" thickBot="1">
      <c r="G1222" s="38"/>
      <c r="H1222" s="4">
        <f t="shared" si="165"/>
        <v>0</v>
      </c>
    </row>
    <row r="1223" spans="7:8" ht="19.5" thickBot="1">
      <c r="G1223" s="38">
        <v>81</v>
      </c>
      <c r="H1223" s="4">
        <f t="shared" si="165"/>
        <v>60.75</v>
      </c>
    </row>
    <row r="1224" spans="7:8" ht="19.5" thickBot="1">
      <c r="G1224" s="38">
        <v>86</v>
      </c>
      <c r="H1224" s="4">
        <f t="shared" si="165"/>
        <v>64.5</v>
      </c>
    </row>
    <row r="1225" spans="7:8" ht="19.5" thickBot="1">
      <c r="G1225" s="38">
        <v>60</v>
      </c>
      <c r="H1225" s="4">
        <f t="shared" si="165"/>
        <v>45</v>
      </c>
    </row>
  </sheetData>
  <sheetProtection/>
  <mergeCells count="1">
    <mergeCell ref="J82:J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2011-12-29T04:43:12Z</cp:lastPrinted>
  <dcterms:created xsi:type="dcterms:W3CDTF">1996-10-08T23:32:33Z</dcterms:created>
  <dcterms:modified xsi:type="dcterms:W3CDTF">2012-01-12T01:15:22Z</dcterms:modified>
  <cp:category/>
  <cp:version/>
  <cp:contentType/>
  <cp:contentStatus/>
</cp:coreProperties>
</file>